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ascal.goll\Dropbox\"/>
    </mc:Choice>
  </mc:AlternateContent>
  <bookViews>
    <workbookView xWindow="1560" yWindow="1080" windowWidth="28800" windowHeight="17580"/>
  </bookViews>
  <sheets>
    <sheet name="Feuil1" sheetId="1" r:id="rId1"/>
  </sheets>
  <definedNames>
    <definedName name="FCMax">Feuil1!$B$17</definedName>
    <definedName name="FCRepos">Feuil1!$B$16</definedName>
    <definedName name="PMA">Feuil1!$B$19</definedName>
    <definedName name="VMA">Feuil1!$B$18</definedName>
    <definedName name="z1FCMaxi">Feuil1!$D$3</definedName>
    <definedName name="z1FCmini">Feuil1!$C$3</definedName>
    <definedName name="z1PMAMaxi">Feuil1!$H$3</definedName>
    <definedName name="z1PMAMini">Feuil1!$G$3</definedName>
    <definedName name="z1VMAMaxi">Feuil1!$F$3</definedName>
    <definedName name="z1VMAMini">Feuil1!$E$3</definedName>
    <definedName name="Z2FCMaxi">Feuil1!$D$4</definedName>
    <definedName name="z2FCMini">Feuil1!$C$4</definedName>
    <definedName name="z2PMAMaxi">Feuil1!$H$4</definedName>
    <definedName name="z2PMAMini">Feuil1!$G$4</definedName>
    <definedName name="z2VMAMaxi">Feuil1!$F$4</definedName>
    <definedName name="z2VMAMini">Feuil1!$E$4</definedName>
    <definedName name="z3FCMaxi">Feuil1!$D$5</definedName>
    <definedName name="z3FCMini">Feuil1!$C$5</definedName>
    <definedName name="z3PMAMaxi">Feuil1!$H$5</definedName>
    <definedName name="z3PMAMini">Feuil1!$G$5</definedName>
    <definedName name="z3VMAMaxi">Feuil1!$F$5</definedName>
    <definedName name="z3VMAMini">Feuil1!$E$5</definedName>
    <definedName name="z4FCMaxi">Feuil1!$D$6</definedName>
    <definedName name="z4FCMini">Feuil1!$C$6</definedName>
    <definedName name="z4PMAMaxi">Feuil1!$H$6</definedName>
    <definedName name="z4PMAMini">Feuil1!$G$6</definedName>
    <definedName name="z4VMAMaxi">Feuil1!$F$6</definedName>
    <definedName name="z4VMAMini">Feuil1!$E$6</definedName>
    <definedName name="z5PMAMaxi">Feuil1!$H$7</definedName>
    <definedName name="z5PMAMini">Feuil1!$G$7</definedName>
    <definedName name="z5VMAMaxi">Feuil1!$F$7</definedName>
    <definedName name="z5VMAMini">Feuil1!$E$7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1" l="1"/>
  <c r="L50" i="1"/>
  <c r="B22" i="1"/>
  <c r="M85" i="1"/>
  <c r="N88" i="1"/>
  <c r="M62" i="1"/>
  <c r="N71" i="1"/>
  <c r="M72" i="1"/>
  <c r="N62" i="1"/>
  <c r="M61" i="1"/>
  <c r="N66" i="1"/>
  <c r="H64" i="1"/>
  <c r="I81" i="1"/>
  <c r="H82" i="1"/>
  <c r="H63" i="1"/>
  <c r="I76" i="1"/>
  <c r="H77" i="1"/>
  <c r="H62" i="1"/>
  <c r="I71" i="1"/>
  <c r="H72" i="1"/>
  <c r="H61" i="1"/>
  <c r="G66" i="1"/>
  <c r="G67" i="1"/>
  <c r="G68" i="1"/>
  <c r="G69" i="1"/>
  <c r="G70" i="1"/>
  <c r="C64" i="1"/>
  <c r="D64" i="1"/>
  <c r="C63" i="1"/>
  <c r="D91" i="1"/>
  <c r="C92" i="1"/>
  <c r="C62" i="1"/>
  <c r="D62" i="1"/>
  <c r="C61" i="1"/>
  <c r="D66" i="1"/>
  <c r="M109" i="1"/>
  <c r="N109" i="1"/>
  <c r="O109" i="1"/>
  <c r="M105" i="1"/>
  <c r="N105" i="1"/>
  <c r="O105" i="1"/>
  <c r="M101" i="1"/>
  <c r="N101" i="1"/>
  <c r="O101" i="1"/>
  <c r="O97" i="1"/>
  <c r="M97" i="1"/>
  <c r="N97" i="1"/>
  <c r="A56" i="1"/>
  <c r="F13" i="1"/>
  <c r="E13" i="1"/>
  <c r="D13" i="1"/>
  <c r="C13" i="1"/>
  <c r="B13" i="1"/>
  <c r="F12" i="1"/>
  <c r="E12" i="1"/>
  <c r="D12" i="1"/>
  <c r="C12" i="1"/>
  <c r="B12" i="1"/>
  <c r="E11" i="1"/>
  <c r="D11" i="1"/>
  <c r="C11" i="1"/>
  <c r="B11" i="1"/>
  <c r="I66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C108" i="1"/>
  <c r="C59" i="1"/>
  <c r="D58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D63" i="1"/>
  <c r="I64" i="1"/>
  <c r="I63" i="1"/>
  <c r="D61" i="1"/>
  <c r="I61" i="1"/>
  <c r="I62" i="1"/>
  <c r="L88" i="1"/>
  <c r="L89" i="1"/>
  <c r="L90" i="1"/>
  <c r="L91" i="1"/>
  <c r="L92" i="1"/>
  <c r="D80" i="1"/>
  <c r="C81" i="1"/>
  <c r="H67" i="1"/>
  <c r="L66" i="1"/>
  <c r="L67" i="1"/>
  <c r="L68" i="1"/>
  <c r="L69" i="1"/>
  <c r="L70" i="1"/>
  <c r="L71" i="1"/>
  <c r="L72" i="1"/>
  <c r="L73" i="1"/>
  <c r="L74" i="1"/>
  <c r="L75" i="1"/>
  <c r="D101" i="1"/>
  <c r="C102" i="1"/>
  <c r="C67" i="1"/>
  <c r="B59" i="1"/>
  <c r="M89" i="1"/>
  <c r="N85" i="1"/>
  <c r="M67" i="1"/>
  <c r="N61" i="1"/>
  <c r="L83" i="1"/>
  <c r="M83" i="1"/>
  <c r="N82" i="1"/>
  <c r="M92" i="1"/>
  <c r="H87" i="1"/>
  <c r="G59" i="1"/>
  <c r="H59" i="1"/>
  <c r="I58" i="1"/>
  <c r="L59" i="1"/>
  <c r="M59" i="1"/>
  <c r="N58" i="1"/>
  <c r="M75" i="1"/>
</calcChain>
</file>

<file path=xl/sharedStrings.xml><?xml version="1.0" encoding="utf-8"?>
<sst xmlns="http://schemas.openxmlformats.org/spreadsheetml/2006/main" count="283" uniqueCount="136">
  <si>
    <t>Obectifs semaines</t>
  </si>
  <si>
    <t>Programme pour objectif endurance</t>
  </si>
  <si>
    <t>semaines-23</t>
  </si>
  <si>
    <t>Bilan + objectifs + test</t>
  </si>
  <si>
    <t>semaines-22</t>
  </si>
  <si>
    <t>Renforcement global (force +++)+gainage+ Intensité Z3 + Long</t>
  </si>
  <si>
    <t>semaines-21</t>
  </si>
  <si>
    <t>semaines-20</t>
  </si>
  <si>
    <t>Renforcement global +gainage+ Intensité Z3 + Long</t>
  </si>
  <si>
    <t>semaines-19</t>
  </si>
  <si>
    <t>Repos + test</t>
  </si>
  <si>
    <t>semaines-18</t>
  </si>
  <si>
    <t>Renforcement global (force+++) +gainage+ Intensité Z3 + Long</t>
  </si>
  <si>
    <t>semaines-17</t>
  </si>
  <si>
    <t>semaines-16</t>
  </si>
  <si>
    <t>semaines-15</t>
  </si>
  <si>
    <t>Repos + Bilan + objectifs + test</t>
  </si>
  <si>
    <t>semaines-14</t>
  </si>
  <si>
    <t>Renforcement global (force++)+ Intensité Z3 + Long</t>
  </si>
  <si>
    <t>semaines-13</t>
  </si>
  <si>
    <t>semaines-12</t>
  </si>
  <si>
    <t>semaines-11</t>
  </si>
  <si>
    <t>Repos + séances tranquilles. Favoriser récup et stretching + Test</t>
  </si>
  <si>
    <t>semaines-10</t>
  </si>
  <si>
    <t>semaines-9</t>
  </si>
  <si>
    <t>semaines-8</t>
  </si>
  <si>
    <t>semaines-7</t>
  </si>
  <si>
    <t>semaines-6</t>
  </si>
  <si>
    <t>semaines-5</t>
  </si>
  <si>
    <t>semaines-4</t>
  </si>
  <si>
    <t>semaines-3</t>
  </si>
  <si>
    <t>Repos. Séances tranquilles + test</t>
  </si>
  <si>
    <t>semaines-2</t>
  </si>
  <si>
    <t>Affûtage : Intensité Z3 court + Intensité Z4 courte + Active (60')</t>
  </si>
  <si>
    <t>semaines-1</t>
  </si>
  <si>
    <t>semaines-0</t>
  </si>
  <si>
    <t>FC % mini</t>
  </si>
  <si>
    <t>FC % maxi</t>
  </si>
  <si>
    <t>VMA % mini</t>
  </si>
  <si>
    <t>VMA % maxi</t>
  </si>
  <si>
    <t>PMA% mini</t>
  </si>
  <si>
    <t>PMA% maxi</t>
  </si>
  <si>
    <t>Filière</t>
  </si>
  <si>
    <t>Source d’énergie:</t>
  </si>
  <si>
    <t>Z1</t>
  </si>
  <si>
    <t>Zone 1</t>
  </si>
  <si>
    <t>Aérobie</t>
  </si>
  <si>
    <t>LIPOLYSE + glycolyse aérobie</t>
  </si>
  <si>
    <t>Z2</t>
  </si>
  <si>
    <t>Zone 2</t>
  </si>
  <si>
    <t>Z3</t>
  </si>
  <si>
    <t>Zone 3</t>
  </si>
  <si>
    <t>Tempo/Seuil</t>
  </si>
  <si>
    <t>GLYCOLYSE AEROBIE + lipolyse + glycolyse anaérobie</t>
  </si>
  <si>
    <t>Z4</t>
  </si>
  <si>
    <t>Zone 4</t>
  </si>
  <si>
    <t>Lactique</t>
  </si>
  <si>
    <t>GYLCOLYSE AEROBIE + glycolyse anaérobie + lipolyse</t>
  </si>
  <si>
    <t>Z5</t>
  </si>
  <si>
    <t>Zone 5</t>
  </si>
  <si>
    <t>Alactique</t>
  </si>
  <si>
    <t>GYLCOLYSE ANAEROBIE + glycolyse aérobie + lipolyse</t>
  </si>
  <si>
    <t>FC</t>
  </si>
  <si>
    <t>pas déterminent</t>
  </si>
  <si>
    <t xml:space="preserve">Infos importantes sur les temps de récup </t>
  </si>
  <si>
    <t>VMA</t>
  </si>
  <si>
    <t>Endurance de base &gt;12 à 24 h</t>
  </si>
  <si>
    <t>PMA</t>
  </si>
  <si>
    <t>Endurance active &gt;12 à 24 h</t>
  </si>
  <si>
    <t>Tempo/Seuil &gt;12 à 24h</t>
  </si>
  <si>
    <t>Anaérobie lactique &gt;48 à 72h</t>
  </si>
  <si>
    <t>Anaérobie alactique &gt;24 à 48h</t>
  </si>
  <si>
    <t>FCRepos</t>
  </si>
  <si>
    <t>FCMax</t>
  </si>
  <si>
    <t>Marathon</t>
  </si>
  <si>
    <t>Temps</t>
  </si>
  <si>
    <t>Vitesse</t>
  </si>
  <si>
    <t>Semi</t>
  </si>
  <si>
    <t>10Km</t>
  </si>
  <si>
    <t>km/h</t>
  </si>
  <si>
    <t xml:space="preserve">V1 = </t>
  </si>
  <si>
    <t xml:space="preserve">V2 = </t>
  </si>
  <si>
    <t xml:space="preserve">V3 = </t>
  </si>
  <si>
    <t xml:space="preserve">V4 = </t>
  </si>
  <si>
    <t xml:space="preserve">V1 : </t>
  </si>
  <si>
    <t xml:space="preserve">V2 : </t>
  </si>
  <si>
    <t xml:space="preserve">V3 : </t>
  </si>
  <si>
    <t>V2 :</t>
  </si>
  <si>
    <t xml:space="preserve">V4 : </t>
  </si>
  <si>
    <t>5Km</t>
  </si>
  <si>
    <t>V3 :</t>
  </si>
  <si>
    <t>Km</t>
  </si>
  <si>
    <t>Min.</t>
  </si>
  <si>
    <t>%</t>
  </si>
  <si>
    <t>Tps/km</t>
  </si>
  <si>
    <t>Minutes</t>
  </si>
  <si>
    <t>Distance</t>
  </si>
  <si>
    <t>V4 :</t>
  </si>
  <si>
    <t>(%)</t>
  </si>
  <si>
    <t>Tps/Km</t>
  </si>
  <si>
    <t>Km/h</t>
  </si>
  <si>
    <t>&lt;&lt;&lt;Vos valeurs</t>
  </si>
  <si>
    <t>Vistesse à un % donné selon VMA</t>
  </si>
  <si>
    <t>Vistesse avec un % donné pour trouver VMA</t>
  </si>
  <si>
    <t>Distance prévue selon durée et % de VMA</t>
  </si>
  <si>
    <t>Temps estimé selon distance et % VMA</t>
  </si>
  <si>
    <t>Date objectif</t>
  </si>
  <si>
    <t>dans</t>
  </si>
  <si>
    <t>semaines</t>
  </si>
  <si>
    <t>S1</t>
  </si>
  <si>
    <t>S2</t>
  </si>
  <si>
    <t>S3</t>
  </si>
  <si>
    <t>S4</t>
  </si>
  <si>
    <t>Gainage</t>
  </si>
  <si>
    <t>Z3 (3x10'/2' Z2)</t>
  </si>
  <si>
    <t>Z1 60'</t>
  </si>
  <si>
    <t>Z2 80'</t>
  </si>
  <si>
    <t>Gainage + Z4 10 x 30''/30''</t>
  </si>
  <si>
    <t>Stretching</t>
  </si>
  <si>
    <t>Z2 60'</t>
  </si>
  <si>
    <t>Z3 (3x12'/2' Z2)</t>
  </si>
  <si>
    <t>Z2 60' ou test</t>
  </si>
  <si>
    <t>Z2 90'</t>
  </si>
  <si>
    <t>Z3 (4x10'/2' Z2)</t>
  </si>
  <si>
    <t>Z4 + base + Intensité Z3 + Long (séance clé, allure de course)</t>
  </si>
  <si>
    <t>Z4 + base + Intensité Z3 + Long</t>
  </si>
  <si>
    <t>Z4 5 x 1000 R 3'</t>
  </si>
  <si>
    <t>Z4 3 x 2000 R 3'</t>
  </si>
  <si>
    <t>Z4 10 x 30''/30''</t>
  </si>
  <si>
    <t>Semi-Marathon Genève</t>
  </si>
  <si>
    <t>Z2 30'</t>
  </si>
  <si>
    <t>Z1 30'</t>
  </si>
  <si>
    <t>Z3 3x(15' 80%/5' 65%)</t>
  </si>
  <si>
    <t>Z3 2 x 5'/1'</t>
  </si>
  <si>
    <t>Intensité Z3 court + base court + Objectif</t>
  </si>
  <si>
    <t>Perception de la fatigue 0 à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</si>
</sst>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400]h:mm:ss\ AM/PM"/>
    <numFmt numFmtId="165" formatCode="0.0"/>
    <numFmt numFmtId="166" formatCode="0.0%"/>
    <numFmt numFmtId="167" formatCode="[$-F400]h:mm:ss&quot; &quot;AM/PM"/>
  </numFmts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6B0F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69">
    <xf numFmtId="0" fontId="0" fillId="0" borderId="0" xfId="0"/>
    <xf numFmtId="0" fontId="0" fillId="2" borderId="1" xfId="0" applyFill="1" applyBorder="1"/>
    <xf numFmtId="0" fontId="4" fillId="2" borderId="2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2" borderId="0" xfId="0" applyFill="1"/>
    <xf numFmtId="0" fontId="0" fillId="3" borderId="3" xfId="0" applyFill="1" applyBorder="1"/>
    <xf numFmtId="9" fontId="0" fillId="3" borderId="3" xfId="0" applyNumberFormat="1" applyFill="1" applyBorder="1" applyAlignment="1">
      <alignment horizontal="left"/>
    </xf>
    <xf numFmtId="9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0" fontId="0" fillId="6" borderId="2" xfId="0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1" fontId="0" fillId="7" borderId="3" xfId="0" applyNumberFormat="1" applyFill="1" applyBorder="1" applyAlignment="1">
      <alignment horizontal="center"/>
    </xf>
    <xf numFmtId="0" fontId="7" fillId="0" borderId="0" xfId="0" applyFont="1" applyAlignment="1">
      <alignment readingOrder="1"/>
    </xf>
    <xf numFmtId="0" fontId="2" fillId="0" borderId="0" xfId="0" applyFont="1"/>
    <xf numFmtId="0" fontId="2" fillId="0" borderId="0" xfId="0" applyFont="1" applyFill="1" applyBorder="1" applyAlignment="1">
      <alignment horizontal="right"/>
    </xf>
    <xf numFmtId="0" fontId="8" fillId="7" borderId="0" xfId="0" applyFont="1" applyFill="1" applyAlignment="1">
      <alignment readingOrder="1"/>
    </xf>
    <xf numFmtId="0" fontId="0" fillId="7" borderId="0" xfId="0" applyFill="1"/>
    <xf numFmtId="0" fontId="2" fillId="0" borderId="0" xfId="0" applyFont="1" applyAlignment="1">
      <alignment horizontal="right"/>
    </xf>
    <xf numFmtId="0" fontId="8" fillId="3" borderId="0" xfId="0" applyFont="1" applyFill="1" applyAlignment="1">
      <alignment readingOrder="1"/>
    </xf>
    <xf numFmtId="0" fontId="0" fillId="3" borderId="0" xfId="0" applyFill="1"/>
    <xf numFmtId="0" fontId="9" fillId="4" borderId="0" xfId="0" applyFont="1" applyFill="1" applyAlignment="1">
      <alignment readingOrder="1"/>
    </xf>
    <xf numFmtId="0" fontId="0" fillId="4" borderId="0" xfId="0" applyFill="1"/>
    <xf numFmtId="0" fontId="9" fillId="8" borderId="0" xfId="0" applyFont="1" applyFill="1" applyAlignment="1">
      <alignment readingOrder="1"/>
    </xf>
    <xf numFmtId="0" fontId="3" fillId="8" borderId="0" xfId="0" applyFont="1" applyFill="1"/>
    <xf numFmtId="9" fontId="0" fillId="9" borderId="3" xfId="0" applyNumberFormat="1" applyFill="1" applyBorder="1" applyAlignment="1">
      <alignment horizontal="left"/>
    </xf>
    <xf numFmtId="0" fontId="0" fillId="9" borderId="3" xfId="0" applyFill="1" applyBorder="1"/>
    <xf numFmtId="0" fontId="0" fillId="7" borderId="4" xfId="0" applyFill="1" applyBorder="1"/>
    <xf numFmtId="9" fontId="0" fillId="7" borderId="3" xfId="0" applyNumberFormat="1" applyFill="1" applyBorder="1" applyAlignment="1">
      <alignment horizontal="left"/>
    </xf>
    <xf numFmtId="0" fontId="0" fillId="7" borderId="3" xfId="0" applyFill="1" applyBorder="1"/>
    <xf numFmtId="0" fontId="3" fillId="4" borderId="3" xfId="0" applyFont="1" applyFill="1" applyBorder="1"/>
    <xf numFmtId="9" fontId="3" fillId="4" borderId="3" xfId="0" applyNumberFormat="1" applyFont="1" applyFill="1" applyBorder="1" applyAlignment="1">
      <alignment horizontal="left"/>
    </xf>
    <xf numFmtId="0" fontId="3" fillId="10" borderId="0" xfId="0" applyFont="1" applyFill="1"/>
    <xf numFmtId="0" fontId="3" fillId="0" borderId="0" xfId="0" applyFont="1" applyFill="1" applyBorder="1"/>
    <xf numFmtId="9" fontId="3" fillId="0" borderId="0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1" fontId="5" fillId="9" borderId="3" xfId="0" applyNumberFormat="1" applyFont="1" applyFill="1" applyBorder="1" applyAlignment="1">
      <alignment horizontal="center"/>
    </xf>
    <xf numFmtId="0" fontId="9" fillId="9" borderId="0" xfId="0" applyFont="1" applyFill="1" applyAlignment="1">
      <alignment readingOrder="1"/>
    </xf>
    <xf numFmtId="0" fontId="10" fillId="9" borderId="0" xfId="0" applyFont="1" applyFill="1"/>
    <xf numFmtId="0" fontId="1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9" fontId="5" fillId="5" borderId="0" xfId="0" applyNumberFormat="1" applyFont="1" applyFill="1" applyAlignment="1">
      <alignment horizontal="center"/>
    </xf>
    <xf numFmtId="0" fontId="1" fillId="5" borderId="0" xfId="0" applyFont="1" applyFill="1"/>
    <xf numFmtId="164" fontId="1" fillId="5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 horizontal="right"/>
    </xf>
    <xf numFmtId="0" fontId="1" fillId="5" borderId="0" xfId="0" applyFont="1" applyFill="1" applyAlignment="1">
      <alignment horizontal="left"/>
    </xf>
    <xf numFmtId="21" fontId="1" fillId="5" borderId="0" xfId="0" applyNumberFormat="1" applyFont="1" applyFill="1"/>
    <xf numFmtId="2" fontId="1" fillId="5" borderId="0" xfId="0" applyNumberFormat="1" applyFont="1" applyFill="1"/>
    <xf numFmtId="0" fontId="0" fillId="12" borderId="5" xfId="0" applyFill="1" applyBorder="1" applyAlignment="1">
      <alignment horizontal="right"/>
    </xf>
    <xf numFmtId="9" fontId="12" fillId="11" borderId="5" xfId="0" applyNumberFormat="1" applyFont="1" applyFill="1" applyBorder="1" applyAlignment="1">
      <alignment horizontal="left"/>
    </xf>
    <xf numFmtId="45" fontId="0" fillId="12" borderId="5" xfId="0" applyNumberFormat="1" applyFill="1" applyBorder="1" applyAlignment="1">
      <alignment horizontal="left"/>
    </xf>
    <xf numFmtId="165" fontId="0" fillId="12" borderId="5" xfId="0" applyNumberFormat="1" applyFill="1" applyBorder="1" applyAlignment="1">
      <alignment horizontal="left"/>
    </xf>
    <xf numFmtId="9" fontId="12" fillId="11" borderId="5" xfId="0" applyNumberFormat="1" applyFont="1" applyFill="1" applyBorder="1"/>
    <xf numFmtId="45" fontId="0" fillId="12" borderId="5" xfId="0" applyNumberFormat="1" applyFill="1" applyBorder="1"/>
    <xf numFmtId="165" fontId="0" fillId="12" borderId="5" xfId="0" applyNumberFormat="1" applyFill="1" applyBorder="1"/>
    <xf numFmtId="0" fontId="0" fillId="13" borderId="6" xfId="0" applyFill="1" applyBorder="1" applyAlignment="1">
      <alignment horizontal="right"/>
    </xf>
    <xf numFmtId="9" fontId="12" fillId="11" borderId="6" xfId="0" applyNumberFormat="1" applyFont="1" applyFill="1" applyBorder="1" applyAlignment="1">
      <alignment horizontal="left"/>
    </xf>
    <xf numFmtId="45" fontId="0" fillId="13" borderId="6" xfId="0" applyNumberFormat="1" applyFill="1" applyBorder="1" applyAlignment="1">
      <alignment horizontal="left"/>
    </xf>
    <xf numFmtId="165" fontId="0" fillId="13" borderId="5" xfId="0" applyNumberFormat="1" applyFill="1" applyBorder="1" applyAlignment="1">
      <alignment horizontal="left"/>
    </xf>
    <xf numFmtId="9" fontId="12" fillId="11" borderId="6" xfId="0" applyNumberFormat="1" applyFont="1" applyFill="1" applyBorder="1"/>
    <xf numFmtId="45" fontId="0" fillId="13" borderId="6" xfId="0" applyNumberFormat="1" applyFill="1" applyBorder="1"/>
    <xf numFmtId="165" fontId="0" fillId="13" borderId="5" xfId="0" applyNumberFormat="1" applyFill="1" applyBorder="1"/>
    <xf numFmtId="165" fontId="0" fillId="13" borderId="6" xfId="0" applyNumberFormat="1" applyFill="1" applyBorder="1" applyAlignment="1">
      <alignment horizontal="left"/>
    </xf>
    <xf numFmtId="0" fontId="3" fillId="14" borderId="6" xfId="0" applyFont="1" applyFill="1" applyBorder="1" applyAlignment="1">
      <alignment horizontal="right"/>
    </xf>
    <xf numFmtId="45" fontId="3" fillId="14" borderId="6" xfId="0" applyNumberFormat="1" applyFont="1" applyFill="1" applyBorder="1" applyAlignment="1">
      <alignment horizontal="left"/>
    </xf>
    <xf numFmtId="165" fontId="3" fillId="14" borderId="5" xfId="0" applyNumberFormat="1" applyFont="1" applyFill="1" applyBorder="1" applyAlignment="1">
      <alignment horizontal="left"/>
    </xf>
    <xf numFmtId="9" fontId="12" fillId="11" borderId="6" xfId="0" applyNumberFormat="1" applyFont="1" applyFill="1" applyBorder="1" applyAlignment="1">
      <alignment horizontal="right"/>
    </xf>
    <xf numFmtId="45" fontId="3" fillId="14" borderId="6" xfId="0" applyNumberFormat="1" applyFont="1" applyFill="1" applyBorder="1" applyAlignment="1">
      <alignment horizontal="right"/>
    </xf>
    <xf numFmtId="165" fontId="3" fillId="14" borderId="5" xfId="0" applyNumberFormat="1" applyFont="1" applyFill="1" applyBorder="1"/>
    <xf numFmtId="0" fontId="0" fillId="0" borderId="0" xfId="0" applyFill="1" applyBorder="1" applyAlignment="1">
      <alignment horizontal="right"/>
    </xf>
    <xf numFmtId="9" fontId="12" fillId="0" borderId="0" xfId="0" applyNumberFormat="1" applyFont="1" applyFill="1" applyBorder="1" applyAlignment="1">
      <alignment horizontal="left"/>
    </xf>
    <xf numFmtId="45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left"/>
    </xf>
    <xf numFmtId="0" fontId="3" fillId="10" borderId="6" xfId="0" applyFont="1" applyFill="1" applyBorder="1" applyAlignment="1">
      <alignment horizontal="right"/>
    </xf>
    <xf numFmtId="45" fontId="3" fillId="10" borderId="6" xfId="0" applyNumberFormat="1" applyFont="1" applyFill="1" applyBorder="1" applyAlignment="1">
      <alignment horizontal="left"/>
    </xf>
    <xf numFmtId="165" fontId="3" fillId="10" borderId="5" xfId="0" applyNumberFormat="1" applyFont="1" applyFill="1" applyBorder="1" applyAlignment="1">
      <alignment horizontal="left"/>
    </xf>
    <xf numFmtId="45" fontId="3" fillId="10" borderId="6" xfId="0" applyNumberFormat="1" applyFont="1" applyFill="1" applyBorder="1" applyAlignment="1">
      <alignment horizontal="right"/>
    </xf>
    <xf numFmtId="165" fontId="3" fillId="10" borderId="5" xfId="0" applyNumberFormat="1" applyFont="1" applyFill="1" applyBorder="1"/>
    <xf numFmtId="0" fontId="0" fillId="12" borderId="5" xfId="0" applyFill="1" applyBorder="1"/>
    <xf numFmtId="164" fontId="0" fillId="12" borderId="5" xfId="0" applyNumberFormat="1" applyFill="1" applyBorder="1"/>
    <xf numFmtId="0" fontId="2" fillId="12" borderId="7" xfId="0" applyFont="1" applyFill="1" applyBorder="1" applyAlignment="1">
      <alignment horizontal="right"/>
    </xf>
    <xf numFmtId="45" fontId="2" fillId="12" borderId="8" xfId="0" applyNumberFormat="1" applyFont="1" applyFill="1" applyBorder="1" applyAlignment="1">
      <alignment horizontal="left"/>
    </xf>
    <xf numFmtId="21" fontId="0" fillId="12" borderId="5" xfId="0" applyNumberFormat="1" applyFill="1" applyBorder="1"/>
    <xf numFmtId="0" fontId="0" fillId="12" borderId="6" xfId="0" applyFill="1" applyBorder="1"/>
    <xf numFmtId="164" fontId="0" fillId="12" borderId="6" xfId="0" applyNumberFormat="1" applyFill="1" applyBorder="1"/>
    <xf numFmtId="2" fontId="2" fillId="12" borderId="9" xfId="0" applyNumberFormat="1" applyFont="1" applyFill="1" applyBorder="1"/>
    <xf numFmtId="0" fontId="2" fillId="12" borderId="10" xfId="0" applyFont="1" applyFill="1" applyBorder="1"/>
    <xf numFmtId="21" fontId="0" fillId="12" borderId="6" xfId="0" applyNumberFormat="1" applyFill="1" applyBorder="1"/>
    <xf numFmtId="0" fontId="0" fillId="12" borderId="0" xfId="0" applyFill="1"/>
    <xf numFmtId="0" fontId="13" fillId="12" borderId="6" xfId="0" applyFont="1" applyFill="1" applyBorder="1"/>
    <xf numFmtId="164" fontId="13" fillId="12" borderId="6" xfId="0" applyNumberFormat="1" applyFont="1" applyFill="1" applyBorder="1"/>
    <xf numFmtId="0" fontId="2" fillId="12" borderId="0" xfId="0" applyFont="1" applyFill="1"/>
    <xf numFmtId="0" fontId="0" fillId="13" borderId="6" xfId="0" applyFill="1" applyBorder="1"/>
    <xf numFmtId="21" fontId="0" fillId="13" borderId="6" xfId="0" applyNumberFormat="1" applyFill="1" applyBorder="1"/>
    <xf numFmtId="0" fontId="2" fillId="13" borderId="7" xfId="0" applyFont="1" applyFill="1" applyBorder="1" applyAlignment="1">
      <alignment horizontal="right"/>
    </xf>
    <xf numFmtId="45" fontId="2" fillId="13" borderId="8" xfId="0" applyNumberFormat="1" applyFont="1" applyFill="1" applyBorder="1" applyAlignment="1">
      <alignment horizontal="left"/>
    </xf>
    <xf numFmtId="164" fontId="0" fillId="13" borderId="6" xfId="0" applyNumberFormat="1" applyFill="1" applyBorder="1"/>
    <xf numFmtId="2" fontId="2" fillId="13" borderId="9" xfId="0" applyNumberFormat="1" applyFont="1" applyFill="1" applyBorder="1"/>
    <xf numFmtId="0" fontId="2" fillId="13" borderId="10" xfId="0" applyFont="1" applyFill="1" applyBorder="1"/>
    <xf numFmtId="0" fontId="0" fillId="13" borderId="0" xfId="0" applyFill="1"/>
    <xf numFmtId="2" fontId="0" fillId="13" borderId="0" xfId="0" applyNumberFormat="1" applyFill="1"/>
    <xf numFmtId="0" fontId="13" fillId="13" borderId="6" xfId="0" applyFont="1" applyFill="1" applyBorder="1"/>
    <xf numFmtId="21" fontId="13" fillId="13" borderId="6" xfId="0" applyNumberFormat="1" applyFont="1" applyFill="1" applyBorder="1"/>
    <xf numFmtId="164" fontId="13" fillId="13" borderId="6" xfId="0" applyNumberFormat="1" applyFont="1" applyFill="1" applyBorder="1"/>
    <xf numFmtId="2" fontId="13" fillId="13" borderId="0" xfId="0" applyNumberFormat="1" applyFont="1" applyFill="1"/>
    <xf numFmtId="0" fontId="13" fillId="13" borderId="0" xfId="0" applyFont="1" applyFill="1"/>
    <xf numFmtId="0" fontId="3" fillId="14" borderId="6" xfId="0" applyFont="1" applyFill="1" applyBorder="1"/>
    <xf numFmtId="21" fontId="3" fillId="14" borderId="6" xfId="0" applyNumberFormat="1" applyFont="1" applyFill="1" applyBorder="1"/>
    <xf numFmtId="0" fontId="1" fillId="14" borderId="7" xfId="0" applyFont="1" applyFill="1" applyBorder="1" applyAlignment="1">
      <alignment horizontal="right"/>
    </xf>
    <xf numFmtId="45" fontId="1" fillId="14" borderId="8" xfId="0" applyNumberFormat="1" applyFont="1" applyFill="1" applyBorder="1" applyAlignment="1">
      <alignment horizontal="left"/>
    </xf>
    <xf numFmtId="0" fontId="1" fillId="14" borderId="9" xfId="0" applyFont="1" applyFill="1" applyBorder="1"/>
    <xf numFmtId="0" fontId="1" fillId="14" borderId="10" xfId="0" applyFont="1" applyFill="1" applyBorder="1"/>
    <xf numFmtId="0" fontId="3" fillId="14" borderId="0" xfId="0" applyFont="1" applyFill="1"/>
    <xf numFmtId="0" fontId="13" fillId="14" borderId="6" xfId="0" applyFont="1" applyFill="1" applyBorder="1"/>
    <xf numFmtId="21" fontId="13" fillId="14" borderId="6" xfId="0" applyNumberFormat="1" applyFont="1" applyFill="1" applyBorder="1"/>
    <xf numFmtId="2" fontId="2" fillId="13" borderId="10" xfId="0" applyNumberFormat="1" applyFont="1" applyFill="1" applyBorder="1"/>
    <xf numFmtId="0" fontId="3" fillId="10" borderId="6" xfId="0" applyFont="1" applyFill="1" applyBorder="1"/>
    <xf numFmtId="21" fontId="3" fillId="10" borderId="6" xfId="0" applyNumberFormat="1" applyFont="1" applyFill="1" applyBorder="1"/>
    <xf numFmtId="0" fontId="1" fillId="10" borderId="7" xfId="0" applyFont="1" applyFill="1" applyBorder="1" applyAlignment="1">
      <alignment horizontal="right"/>
    </xf>
    <xf numFmtId="45" fontId="1" fillId="10" borderId="8" xfId="0" applyNumberFormat="1" applyFont="1" applyFill="1" applyBorder="1" applyAlignment="1">
      <alignment horizontal="left"/>
    </xf>
    <xf numFmtId="2" fontId="1" fillId="10" borderId="9" xfId="0" applyNumberFormat="1" applyFont="1" applyFill="1" applyBorder="1"/>
    <xf numFmtId="0" fontId="1" fillId="10" borderId="10" xfId="0" applyFont="1" applyFill="1" applyBorder="1"/>
    <xf numFmtId="0" fontId="2" fillId="13" borderId="0" xfId="0" applyFont="1" applyFill="1"/>
    <xf numFmtId="0" fontId="14" fillId="10" borderId="6" xfId="0" applyFont="1" applyFill="1" applyBorder="1"/>
    <xf numFmtId="0" fontId="15" fillId="10" borderId="6" xfId="0" applyFont="1" applyFill="1" applyBorder="1"/>
    <xf numFmtId="21" fontId="15" fillId="10" borderId="6" xfId="0" applyNumberFormat="1" applyFont="1" applyFill="1" applyBorder="1"/>
    <xf numFmtId="2" fontId="15" fillId="10" borderId="0" xfId="0" applyNumberFormat="1" applyFont="1" applyFill="1"/>
    <xf numFmtId="0" fontId="15" fillId="10" borderId="0" xfId="0" applyFont="1" applyFill="1"/>
    <xf numFmtId="0" fontId="2" fillId="12" borderId="9" xfId="0" applyFont="1" applyFill="1" applyBorder="1"/>
    <xf numFmtId="164" fontId="3" fillId="14" borderId="6" xfId="0" applyNumberFormat="1" applyFont="1" applyFill="1" applyBorder="1"/>
    <xf numFmtId="2" fontId="1" fillId="14" borderId="9" xfId="0" applyNumberFormat="1" applyFont="1" applyFill="1" applyBorder="1"/>
    <xf numFmtId="2" fontId="1" fillId="14" borderId="10" xfId="0" applyNumberFormat="1" applyFont="1" applyFill="1" applyBorder="1"/>
    <xf numFmtId="2" fontId="13" fillId="12" borderId="0" xfId="0" applyNumberFormat="1" applyFont="1" applyFill="1"/>
    <xf numFmtId="0" fontId="13" fillId="12" borderId="0" xfId="0" applyFont="1" applyFill="1"/>
    <xf numFmtId="164" fontId="13" fillId="14" borderId="6" xfId="0" applyNumberFormat="1" applyFont="1" applyFill="1" applyBorder="1"/>
    <xf numFmtId="0" fontId="16" fillId="15" borderId="3" xfId="0" applyFont="1" applyFill="1" applyBorder="1" applyAlignment="1">
      <alignment horizontal="center"/>
    </xf>
    <xf numFmtId="0" fontId="17" fillId="15" borderId="3" xfId="0" applyFont="1" applyFill="1" applyBorder="1" applyAlignment="1">
      <alignment horizontal="center"/>
    </xf>
    <xf numFmtId="0" fontId="17" fillId="15" borderId="3" xfId="0" applyFont="1" applyFill="1" applyBorder="1" applyAlignment="1">
      <alignment horizontal="center" shrinkToFit="1"/>
    </xf>
    <xf numFmtId="0" fontId="18" fillId="2" borderId="3" xfId="0" applyFont="1" applyFill="1" applyBorder="1" applyAlignment="1" applyProtection="1">
      <alignment horizontal="center"/>
      <protection locked="0"/>
    </xf>
    <xf numFmtId="0" fontId="18" fillId="2" borderId="3" xfId="0" applyNumberFormat="1" applyFont="1" applyFill="1" applyBorder="1" applyAlignment="1" applyProtection="1">
      <alignment horizontal="center"/>
      <protection locked="0"/>
    </xf>
    <xf numFmtId="2" fontId="16" fillId="0" borderId="3" xfId="0" applyNumberFormat="1" applyFont="1" applyBorder="1" applyAlignment="1">
      <alignment horizontal="center"/>
    </xf>
    <xf numFmtId="166" fontId="0" fillId="0" borderId="3" xfId="0" applyNumberFormat="1" applyFont="1" applyBorder="1"/>
    <xf numFmtId="45" fontId="0" fillId="0" borderId="3" xfId="0" applyNumberFormat="1" applyFont="1" applyBorder="1" applyAlignment="1">
      <alignment horizontal="center" shrinkToFit="1"/>
    </xf>
    <xf numFmtId="164" fontId="3" fillId="10" borderId="6" xfId="0" applyNumberFormat="1" applyFont="1" applyFill="1" applyBorder="1"/>
    <xf numFmtId="0" fontId="18" fillId="2" borderId="3" xfId="0" quotePrefix="1" applyNumberFormat="1" applyFont="1" applyFill="1" applyBorder="1" applyAlignment="1">
      <alignment horizontal="center"/>
    </xf>
    <xf numFmtId="9" fontId="18" fillId="2" borderId="3" xfId="0" quotePrefix="1" applyNumberFormat="1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45" fontId="16" fillId="0" borderId="3" xfId="0" applyNumberFormat="1" applyFont="1" applyBorder="1" applyAlignment="1">
      <alignment horizontal="center"/>
    </xf>
    <xf numFmtId="2" fontId="1" fillId="10" borderId="10" xfId="0" applyNumberFormat="1" applyFont="1" applyFill="1" applyBorder="1"/>
    <xf numFmtId="164" fontId="15" fillId="10" borderId="6" xfId="0" applyNumberFormat="1" applyFont="1" applyFill="1" applyBorder="1"/>
    <xf numFmtId="9" fontId="18" fillId="2" borderId="3" xfId="0" applyNumberFormat="1" applyFont="1" applyFill="1" applyBorder="1" applyAlignment="1" applyProtection="1">
      <alignment horizontal="center"/>
      <protection locked="0"/>
    </xf>
    <xf numFmtId="2" fontId="16" fillId="0" borderId="3" xfId="0" applyNumberFormat="1" applyFont="1" applyFill="1" applyBorder="1" applyAlignment="1" applyProtection="1">
      <alignment horizontal="center"/>
      <protection locked="0"/>
    </xf>
    <xf numFmtId="167" fontId="16" fillId="0" borderId="3" xfId="0" applyNumberFormat="1" applyFont="1" applyBorder="1" applyAlignment="1">
      <alignment horizontal="center"/>
    </xf>
    <xf numFmtId="0" fontId="19" fillId="16" borderId="3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Alignment="1">
      <alignment horizontal="center"/>
    </xf>
    <xf numFmtId="0" fontId="0" fillId="16" borderId="0" xfId="0" applyFill="1"/>
    <xf numFmtId="14" fontId="2" fillId="16" borderId="0" xfId="0" applyNumberFormat="1" applyFont="1" applyFill="1"/>
    <xf numFmtId="0" fontId="3" fillId="8" borderId="3" xfId="0" applyFont="1" applyFill="1" applyBorder="1"/>
    <xf numFmtId="9" fontId="3" fillId="8" borderId="3" xfId="0" applyNumberFormat="1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" fontId="0" fillId="17" borderId="2" xfId="0" applyNumberFormat="1" applyFill="1" applyBorder="1" applyAlignment="1">
      <alignment horizontal="center"/>
    </xf>
    <xf numFmtId="0" fontId="11" fillId="0" borderId="0" xfId="0" applyFont="1" applyAlignment="1">
      <alignment horizontal="left"/>
    </xf>
  </cellXfs>
  <cellStyles count="1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Normal" xfId="0" builtinId="0"/>
  </cellStyles>
  <dxfs count="26">
    <dxf>
      <font>
        <color theme="0"/>
      </font>
      <fill>
        <patternFill patternType="solid">
          <fgColor indexed="64"/>
          <bgColor rgb="FF1B9FEC"/>
        </patternFill>
      </fill>
    </dxf>
    <dxf>
      <font>
        <color theme="0"/>
      </font>
      <fill>
        <patternFill patternType="solid">
          <fgColor indexed="64"/>
          <bgColor rgb="FF15A53F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660066"/>
        </patternFill>
      </fill>
    </dxf>
    <dxf>
      <fill>
        <patternFill patternType="solid">
          <fgColor indexed="64"/>
          <bgColor rgb="FFFFFF00"/>
        </patternFill>
      </fill>
    </dxf>
    <dxf>
      <font>
        <color theme="0"/>
      </font>
      <fill>
        <patternFill patternType="solid">
          <fgColor indexed="64"/>
          <bgColor rgb="FF008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660066"/>
        </patternFill>
      </fill>
    </dxf>
    <dxf>
      <fill>
        <patternFill patternType="solid">
          <fgColor indexed="64"/>
          <bgColor rgb="FFFFFF00"/>
        </patternFill>
      </fill>
    </dxf>
    <dxf>
      <font>
        <color theme="0"/>
      </font>
      <fill>
        <patternFill patternType="solid">
          <fgColor indexed="64"/>
          <bgColor rgb="FF008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 patternType="solid">
          <fgColor indexed="64"/>
          <bgColor rgb="FF1B9FEC"/>
        </patternFill>
      </fill>
    </dxf>
    <dxf>
      <font>
        <color theme="0"/>
      </font>
      <fill>
        <patternFill patternType="solid">
          <fgColor indexed="64"/>
          <bgColor rgb="FF15A53F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660066"/>
        </patternFill>
      </fill>
    </dxf>
    <dxf>
      <fill>
        <patternFill patternType="solid">
          <fgColor indexed="64"/>
          <bgColor rgb="FFFFFF00"/>
        </patternFill>
      </fill>
    </dxf>
    <dxf>
      <font>
        <color theme="0"/>
      </font>
      <fill>
        <patternFill patternType="solid">
          <fgColor indexed="64"/>
          <bgColor rgb="FF008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660066"/>
        </patternFill>
      </fill>
    </dxf>
    <dxf>
      <fill>
        <patternFill patternType="solid">
          <fgColor indexed="64"/>
          <bgColor rgb="FFFFFF00"/>
        </patternFill>
      </fill>
    </dxf>
    <dxf>
      <font>
        <color theme="0"/>
      </font>
      <fill>
        <patternFill patternType="solid">
          <fgColor indexed="64"/>
          <bgColor rgb="FF008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09"/>
  <sheetViews>
    <sheetView tabSelected="1" workbookViewId="0">
      <selection activeCell="C25" sqref="C25"/>
    </sheetView>
  </sheetViews>
  <sheetFormatPr baseColWidth="10" defaultRowHeight="15" x14ac:dyDescent="0.25"/>
  <cols>
    <col min="1" max="1" width="13.28515625" customWidth="1"/>
    <col min="2" max="2" width="14.5703125" customWidth="1"/>
    <col min="3" max="3" width="11.85546875" customWidth="1"/>
    <col min="5" max="5" width="11.85546875" bestFit="1" customWidth="1"/>
    <col min="6" max="6" width="13.7109375" bestFit="1" customWidth="1"/>
    <col min="7" max="7" width="11.28515625" bestFit="1" customWidth="1"/>
    <col min="8" max="8" width="11.42578125" bestFit="1" customWidth="1"/>
    <col min="9" max="9" width="23.140625" bestFit="1" customWidth="1"/>
    <col min="10" max="10" width="14" bestFit="1" customWidth="1"/>
    <col min="11" max="11" width="18.85546875" customWidth="1"/>
    <col min="14" max="14" width="12.7109375" customWidth="1"/>
  </cols>
  <sheetData>
    <row r="2" spans="1:13" ht="15.75" x14ac:dyDescent="0.25">
      <c r="A2" s="1"/>
      <c r="B2" s="2"/>
      <c r="C2" s="3" t="s">
        <v>36</v>
      </c>
      <c r="D2" s="4" t="s">
        <v>37</v>
      </c>
      <c r="E2" s="4" t="s">
        <v>38</v>
      </c>
      <c r="F2" s="4" t="s">
        <v>39</v>
      </c>
      <c r="G2" s="4" t="s">
        <v>40</v>
      </c>
      <c r="H2" s="4" t="s">
        <v>41</v>
      </c>
      <c r="I2" s="4" t="s">
        <v>42</v>
      </c>
      <c r="K2" s="5" t="s">
        <v>43</v>
      </c>
      <c r="L2" s="5"/>
    </row>
    <row r="3" spans="1:13" x14ac:dyDescent="0.25">
      <c r="A3" s="30" t="s">
        <v>44</v>
      </c>
      <c r="B3" s="30" t="s">
        <v>45</v>
      </c>
      <c r="C3" s="31">
        <v>0.5</v>
      </c>
      <c r="D3" s="31">
        <v>0.65</v>
      </c>
      <c r="E3" s="31">
        <v>0.5</v>
      </c>
      <c r="F3" s="31">
        <v>0.65</v>
      </c>
      <c r="G3" s="31">
        <v>0.5</v>
      </c>
      <c r="H3" s="31">
        <v>0.6</v>
      </c>
      <c r="I3" s="32" t="s">
        <v>46</v>
      </c>
      <c r="K3" t="s">
        <v>47</v>
      </c>
    </row>
    <row r="4" spans="1:13" x14ac:dyDescent="0.25">
      <c r="A4" s="29" t="s">
        <v>48</v>
      </c>
      <c r="B4" s="29" t="s">
        <v>49</v>
      </c>
      <c r="C4" s="28">
        <v>0.66</v>
      </c>
      <c r="D4" s="28">
        <v>0.8</v>
      </c>
      <c r="E4" s="28">
        <v>0.66</v>
      </c>
      <c r="F4" s="28">
        <v>0.75</v>
      </c>
      <c r="G4" s="28">
        <v>0.61</v>
      </c>
      <c r="H4" s="28">
        <v>0.75</v>
      </c>
      <c r="I4" s="29" t="s">
        <v>46</v>
      </c>
      <c r="K4" t="s">
        <v>47</v>
      </c>
    </row>
    <row r="5" spans="1:13" x14ac:dyDescent="0.25">
      <c r="A5" s="6" t="s">
        <v>50</v>
      </c>
      <c r="B5" s="6" t="s">
        <v>51</v>
      </c>
      <c r="C5" s="7">
        <v>0.81</v>
      </c>
      <c r="D5" s="7">
        <v>0.9</v>
      </c>
      <c r="E5" s="7">
        <v>0.76</v>
      </c>
      <c r="F5" s="7">
        <v>0.85</v>
      </c>
      <c r="G5" s="7">
        <v>0.76</v>
      </c>
      <c r="H5" s="7">
        <v>0.85</v>
      </c>
      <c r="I5" s="6" t="s">
        <v>52</v>
      </c>
      <c r="K5" t="s">
        <v>53</v>
      </c>
    </row>
    <row r="6" spans="1:13" x14ac:dyDescent="0.25">
      <c r="A6" s="33" t="s">
        <v>54</v>
      </c>
      <c r="B6" s="33" t="s">
        <v>55</v>
      </c>
      <c r="C6" s="34">
        <v>0.91</v>
      </c>
      <c r="D6" s="34">
        <v>1</v>
      </c>
      <c r="E6" s="34">
        <v>0.86</v>
      </c>
      <c r="F6" s="34">
        <v>1</v>
      </c>
      <c r="G6" s="34">
        <v>0.86</v>
      </c>
      <c r="H6" s="34">
        <v>1</v>
      </c>
      <c r="I6" s="33" t="s">
        <v>56</v>
      </c>
      <c r="K6" t="s">
        <v>57</v>
      </c>
    </row>
    <row r="7" spans="1:13" x14ac:dyDescent="0.25">
      <c r="A7" s="162" t="s">
        <v>58</v>
      </c>
      <c r="B7" s="162" t="s">
        <v>59</v>
      </c>
      <c r="C7" s="163"/>
      <c r="D7" s="163"/>
      <c r="E7" s="163">
        <v>1.01</v>
      </c>
      <c r="F7" s="163">
        <v>1.2</v>
      </c>
      <c r="G7" s="163">
        <v>1.01</v>
      </c>
      <c r="H7" s="163">
        <v>4</v>
      </c>
      <c r="I7" s="162" t="s">
        <v>60</v>
      </c>
      <c r="K7" t="s">
        <v>61</v>
      </c>
    </row>
    <row r="8" spans="1:13" x14ac:dyDescent="0.25">
      <c r="A8" s="36"/>
      <c r="B8" s="36"/>
      <c r="C8" s="37"/>
      <c r="D8" s="37"/>
      <c r="E8" s="37"/>
      <c r="F8" s="37"/>
      <c r="G8" s="37"/>
      <c r="H8" s="37"/>
      <c r="I8" s="36"/>
    </row>
    <row r="9" spans="1:13" ht="15.75" x14ac:dyDescent="0.25">
      <c r="C9" s="8"/>
      <c r="D9" s="8"/>
      <c r="E9" s="8"/>
      <c r="F9" s="8"/>
      <c r="G9" s="8"/>
      <c r="H9" s="8"/>
      <c r="I9" s="8"/>
      <c r="J9" s="9"/>
      <c r="K9" s="16" t="s">
        <v>64</v>
      </c>
      <c r="L9" s="17"/>
      <c r="M9" s="17"/>
    </row>
    <row r="10" spans="1:13" ht="15.75" x14ac:dyDescent="0.25">
      <c r="A10" s="10"/>
      <c r="B10" s="167" t="s">
        <v>44</v>
      </c>
      <c r="C10" s="39" t="s">
        <v>48</v>
      </c>
      <c r="D10" s="11" t="s">
        <v>50</v>
      </c>
      <c r="E10" s="12" t="s">
        <v>54</v>
      </c>
      <c r="F10" s="164" t="s">
        <v>58</v>
      </c>
      <c r="I10" s="13"/>
      <c r="J10" s="30" t="s">
        <v>45</v>
      </c>
      <c r="K10" s="19" t="s">
        <v>66</v>
      </c>
      <c r="L10" s="20"/>
      <c r="M10" s="20"/>
    </row>
    <row r="11" spans="1:13" ht="15.75" x14ac:dyDescent="0.25">
      <c r="A11" s="14" t="s">
        <v>62</v>
      </c>
      <c r="B11" s="15" t="str">
        <f>ROUND(((FCMax-FCRepos)*z1FCmini)+FCRepos,0)&amp;"-"&amp;ROUND(((FCMax-FCRepos)*z1FCMaxi)+FCRepos,0)</f>
        <v>120-138</v>
      </c>
      <c r="C11" s="39" t="str">
        <f>ROUND(((FCMax-FCRepos)*z2FCMini)+FCRepos,0)&amp;"-"&amp;ROUND(((FCMax-FCRepos)*Z2FCMaxi)+FCRepos,0)</f>
        <v>139-156</v>
      </c>
      <c r="D11" s="11" t="str">
        <f>ROUND(((FCMax-FCRepos)*z3FCMini)+FCRepos,0)&amp;"-"&amp;ROUND(((FCMax-FCRepos)*z3FCMaxi)+FCRepos,0)</f>
        <v>157-168</v>
      </c>
      <c r="E11" s="12" t="str">
        <f>ROUND(((FCMax-FCRepos)*z4FCMini)+FCRepos,0)&amp;"-"&amp;ROUND(((FCMax-FCRepos)*z4FCMaxi)+FCRepos,0)</f>
        <v>169-180</v>
      </c>
      <c r="F11" s="165" t="s">
        <v>63</v>
      </c>
      <c r="I11" s="13"/>
      <c r="J11" s="29" t="s">
        <v>49</v>
      </c>
      <c r="K11" s="40" t="s">
        <v>68</v>
      </c>
      <c r="L11" s="41"/>
      <c r="M11" s="41"/>
    </row>
    <row r="12" spans="1:13" ht="15.75" x14ac:dyDescent="0.25">
      <c r="A12" s="18" t="s">
        <v>65</v>
      </c>
      <c r="B12" s="15" t="str">
        <f>ROUND(VMA*z1VMAMini,0)&amp;"-"&amp;ROUND(VMA*z1VMAMaxi,0)</f>
        <v>8-10</v>
      </c>
      <c r="C12" s="39" t="str">
        <f>ROUND(VMA*z2VMAMini,0)&amp;"-"&amp;ROUND(VMA*z2VMAMaxi,0)</f>
        <v>10-11</v>
      </c>
      <c r="D12" s="11" t="str">
        <f>ROUND(VMA*z3VMAMini,0)&amp;"-"&amp;ROUND(VMA*z3VMAMaxi,0)</f>
        <v>12-13</v>
      </c>
      <c r="E12" s="12" t="str">
        <f>ROUND(VMA*z4VMAMini,0)&amp;"-"&amp;ROUND(VMA*z4VMAMaxi,0)</f>
        <v>13-15</v>
      </c>
      <c r="F12" s="164" t="str">
        <f>ROUND(VMA*z5VMAMini,0)&amp;"-"&amp;ROUND(VMA*z5VMAMaxi,0)</f>
        <v>15-18</v>
      </c>
      <c r="I12" s="13"/>
      <c r="J12" s="6" t="s">
        <v>51</v>
      </c>
      <c r="K12" s="22" t="s">
        <v>69</v>
      </c>
      <c r="L12" s="23"/>
      <c r="M12" s="23"/>
    </row>
    <row r="13" spans="1:13" ht="15.75" x14ac:dyDescent="0.25">
      <c r="A13" s="21" t="s">
        <v>67</v>
      </c>
      <c r="B13" s="15" t="str">
        <f>ROUND(PMA*z1PMAMini,0)&amp;"-"&amp;ROUND(PMA*z1PMAMaxi,0)</f>
        <v>200-240</v>
      </c>
      <c r="C13" s="39" t="str">
        <f>ROUND(PMA*z2PMAMini,0)&amp;"-"&amp;ROUND(PMA*z2PMAMaxi,0)</f>
        <v>244-300</v>
      </c>
      <c r="D13" s="11" t="str">
        <f>ROUND(PMA*z3PMAMini,0)&amp;"-"&amp;ROUND(PMA*z3PMAMaxi,0)</f>
        <v>304-340</v>
      </c>
      <c r="E13" s="12" t="str">
        <f>ROUND(PMA*z4PMAMini,0)&amp;"-"&amp;ROUND(PMA*z4PMAMaxi,0)</f>
        <v>344-400</v>
      </c>
      <c r="F13" s="164" t="str">
        <f>ROUND(PMA*z5PMAMini,0)&amp;"-"&amp;ROUND(PMA*z5PMAMaxi,0)</f>
        <v>404-1600</v>
      </c>
      <c r="I13" s="9"/>
      <c r="J13" s="33" t="s">
        <v>55</v>
      </c>
      <c r="K13" s="24" t="s">
        <v>70</v>
      </c>
      <c r="L13" s="25"/>
      <c r="M13" s="25"/>
    </row>
    <row r="14" spans="1:13" ht="15.75" x14ac:dyDescent="0.25">
      <c r="H14" s="17"/>
      <c r="J14" s="162" t="s">
        <v>59</v>
      </c>
      <c r="K14" s="26" t="s">
        <v>71</v>
      </c>
      <c r="L14" s="27"/>
      <c r="M14" s="27"/>
    </row>
    <row r="16" spans="1:13" x14ac:dyDescent="0.25">
      <c r="A16" s="157" t="s">
        <v>72</v>
      </c>
      <c r="B16" s="156">
        <v>60</v>
      </c>
      <c r="C16" t="s">
        <v>101</v>
      </c>
    </row>
    <row r="17" spans="1:12" x14ac:dyDescent="0.25">
      <c r="A17" s="157" t="s">
        <v>73</v>
      </c>
      <c r="B17" s="156">
        <v>180</v>
      </c>
      <c r="C17" t="s">
        <v>101</v>
      </c>
    </row>
    <row r="18" spans="1:12" x14ac:dyDescent="0.25">
      <c r="A18" s="157" t="s">
        <v>65</v>
      </c>
      <c r="B18" s="156">
        <v>15.2</v>
      </c>
      <c r="C18" t="s">
        <v>101</v>
      </c>
    </row>
    <row r="19" spans="1:12" x14ac:dyDescent="0.25">
      <c r="A19" s="157" t="s">
        <v>67</v>
      </c>
      <c r="B19" s="156">
        <v>400</v>
      </c>
      <c r="C19" t="s">
        <v>101</v>
      </c>
    </row>
    <row r="21" spans="1:12" x14ac:dyDescent="0.25">
      <c r="A21" s="158" t="s">
        <v>106</v>
      </c>
      <c r="B21" s="161">
        <v>43226</v>
      </c>
      <c r="C21" s="160" t="s">
        <v>129</v>
      </c>
      <c r="D21" s="160"/>
    </row>
    <row r="22" spans="1:12" x14ac:dyDescent="0.25">
      <c r="A22" s="158" t="s">
        <v>107</v>
      </c>
      <c r="B22" s="159">
        <f ca="1">WEEKNUM(B21-(WEEKDAY(B21,2)-1))-WEEKNUM(TODAY())</f>
        <v>8</v>
      </c>
      <c r="C22" t="s">
        <v>108</v>
      </c>
    </row>
    <row r="23" spans="1:12" x14ac:dyDescent="0.25">
      <c r="A23" s="158"/>
      <c r="B23" s="159"/>
    </row>
    <row r="24" spans="1:12" x14ac:dyDescent="0.25">
      <c r="A24" s="166" t="s">
        <v>135</v>
      </c>
      <c r="B24" s="159"/>
      <c r="C24" s="5">
        <v>6</v>
      </c>
      <c r="D24" t="str">
        <f>IF(C24&lt;7,"Go",IF(AND(C24&gt;=7,C24&lt;=8),"Z2 Max",IF(C24&gt;8,"Z1 Max","")))</f>
        <v>Go</v>
      </c>
    </row>
    <row r="26" spans="1:12" ht="30" x14ac:dyDescent="0.25">
      <c r="A26" s="38" t="s">
        <v>0</v>
      </c>
      <c r="B26" t="s">
        <v>1</v>
      </c>
      <c r="I26" t="s">
        <v>109</v>
      </c>
      <c r="J26" t="s">
        <v>110</v>
      </c>
      <c r="K26" t="s">
        <v>111</v>
      </c>
      <c r="L26" t="s">
        <v>112</v>
      </c>
    </row>
    <row r="27" spans="1:12" x14ac:dyDescent="0.25">
      <c r="A27" t="s">
        <v>2</v>
      </c>
      <c r="B27" t="s">
        <v>3</v>
      </c>
    </row>
    <row r="28" spans="1:12" x14ac:dyDescent="0.25">
      <c r="A28" t="s">
        <v>4</v>
      </c>
      <c r="B28" t="s">
        <v>5</v>
      </c>
      <c r="I28" t="s">
        <v>117</v>
      </c>
      <c r="J28" t="s">
        <v>115</v>
      </c>
      <c r="K28" t="s">
        <v>114</v>
      </c>
      <c r="L28" t="s">
        <v>116</v>
      </c>
    </row>
    <row r="29" spans="1:12" x14ac:dyDescent="0.25">
      <c r="A29" t="s">
        <v>6</v>
      </c>
      <c r="B29" t="s">
        <v>5</v>
      </c>
      <c r="I29" t="s">
        <v>117</v>
      </c>
      <c r="J29" t="s">
        <v>115</v>
      </c>
      <c r="K29" t="s">
        <v>114</v>
      </c>
      <c r="L29" t="s">
        <v>116</v>
      </c>
    </row>
    <row r="30" spans="1:12" x14ac:dyDescent="0.25">
      <c r="A30" t="s">
        <v>7</v>
      </c>
      <c r="B30" t="s">
        <v>8</v>
      </c>
      <c r="I30" t="s">
        <v>117</v>
      </c>
      <c r="J30" t="s">
        <v>115</v>
      </c>
      <c r="K30" t="s">
        <v>114</v>
      </c>
      <c r="L30" t="s">
        <v>116</v>
      </c>
    </row>
    <row r="31" spans="1:12" x14ac:dyDescent="0.25">
      <c r="A31" t="s">
        <v>9</v>
      </c>
      <c r="B31" t="s">
        <v>10</v>
      </c>
      <c r="I31" t="s">
        <v>113</v>
      </c>
      <c r="J31" t="s">
        <v>115</v>
      </c>
      <c r="K31" t="s">
        <v>118</v>
      </c>
      <c r="L31" t="s">
        <v>119</v>
      </c>
    </row>
    <row r="32" spans="1:12" x14ac:dyDescent="0.25">
      <c r="A32" t="s">
        <v>11</v>
      </c>
      <c r="B32" t="s">
        <v>12</v>
      </c>
      <c r="I32" t="s">
        <v>117</v>
      </c>
      <c r="J32" t="s">
        <v>115</v>
      </c>
      <c r="K32" t="s">
        <v>120</v>
      </c>
      <c r="L32" t="s">
        <v>116</v>
      </c>
    </row>
    <row r="33" spans="1:12" x14ac:dyDescent="0.25">
      <c r="A33" t="s">
        <v>13</v>
      </c>
      <c r="B33" t="s">
        <v>12</v>
      </c>
      <c r="I33" t="s">
        <v>117</v>
      </c>
      <c r="J33" t="s">
        <v>115</v>
      </c>
      <c r="K33" t="s">
        <v>120</v>
      </c>
      <c r="L33" t="s">
        <v>122</v>
      </c>
    </row>
    <row r="34" spans="1:12" x14ac:dyDescent="0.25">
      <c r="A34" t="s">
        <v>14</v>
      </c>
      <c r="B34" t="s">
        <v>12</v>
      </c>
      <c r="I34" t="s">
        <v>117</v>
      </c>
      <c r="J34" t="s">
        <v>115</v>
      </c>
      <c r="K34" t="s">
        <v>120</v>
      </c>
      <c r="L34" t="s">
        <v>122</v>
      </c>
    </row>
    <row r="35" spans="1:12" x14ac:dyDescent="0.25">
      <c r="A35" t="s">
        <v>15</v>
      </c>
      <c r="B35" t="s">
        <v>16</v>
      </c>
      <c r="I35" t="s">
        <v>113</v>
      </c>
      <c r="J35" t="s">
        <v>115</v>
      </c>
      <c r="K35" t="s">
        <v>118</v>
      </c>
      <c r="L35" t="s">
        <v>121</v>
      </c>
    </row>
    <row r="36" spans="1:12" x14ac:dyDescent="0.25">
      <c r="A36" t="s">
        <v>17</v>
      </c>
      <c r="B36" t="s">
        <v>18</v>
      </c>
      <c r="I36" t="s">
        <v>117</v>
      </c>
      <c r="J36" t="s">
        <v>115</v>
      </c>
      <c r="K36" t="s">
        <v>123</v>
      </c>
      <c r="L36" t="s">
        <v>116</v>
      </c>
    </row>
    <row r="37" spans="1:12" x14ac:dyDescent="0.25">
      <c r="A37" t="s">
        <v>19</v>
      </c>
      <c r="B37" t="s">
        <v>18</v>
      </c>
      <c r="I37" t="s">
        <v>117</v>
      </c>
      <c r="J37" t="s">
        <v>115</v>
      </c>
      <c r="K37" t="s">
        <v>123</v>
      </c>
      <c r="L37" t="s">
        <v>122</v>
      </c>
    </row>
    <row r="38" spans="1:12" x14ac:dyDescent="0.25">
      <c r="A38" t="s">
        <v>20</v>
      </c>
      <c r="B38" t="s">
        <v>18</v>
      </c>
      <c r="I38" t="s">
        <v>117</v>
      </c>
      <c r="J38" t="s">
        <v>115</v>
      </c>
      <c r="K38" t="s">
        <v>123</v>
      </c>
      <c r="L38" t="s">
        <v>122</v>
      </c>
    </row>
    <row r="39" spans="1:12" x14ac:dyDescent="0.25">
      <c r="A39" t="s">
        <v>21</v>
      </c>
      <c r="B39" t="s">
        <v>22</v>
      </c>
      <c r="I39" t="s">
        <v>113</v>
      </c>
      <c r="J39" t="s">
        <v>115</v>
      </c>
      <c r="K39" t="s">
        <v>118</v>
      </c>
      <c r="L39" t="s">
        <v>121</v>
      </c>
    </row>
    <row r="40" spans="1:12" x14ac:dyDescent="0.25">
      <c r="A40" t="s">
        <v>23</v>
      </c>
      <c r="B40" t="s">
        <v>124</v>
      </c>
      <c r="I40" t="s">
        <v>126</v>
      </c>
      <c r="J40" t="s">
        <v>115</v>
      </c>
      <c r="K40" t="s">
        <v>132</v>
      </c>
      <c r="L40" t="s">
        <v>122</v>
      </c>
    </row>
    <row r="41" spans="1:12" x14ac:dyDescent="0.25">
      <c r="A41" t="s">
        <v>24</v>
      </c>
      <c r="B41" t="s">
        <v>125</v>
      </c>
      <c r="I41" t="s">
        <v>126</v>
      </c>
      <c r="J41" t="s">
        <v>115</v>
      </c>
      <c r="K41" t="s">
        <v>132</v>
      </c>
      <c r="L41" t="s">
        <v>116</v>
      </c>
    </row>
    <row r="42" spans="1:12" x14ac:dyDescent="0.25">
      <c r="A42" t="s">
        <v>25</v>
      </c>
      <c r="B42" t="s">
        <v>125</v>
      </c>
      <c r="I42" t="s">
        <v>126</v>
      </c>
      <c r="J42" t="s">
        <v>115</v>
      </c>
      <c r="K42" t="s">
        <v>132</v>
      </c>
      <c r="L42" t="s">
        <v>116</v>
      </c>
    </row>
    <row r="43" spans="1:12" x14ac:dyDescent="0.25">
      <c r="A43" t="s">
        <v>26</v>
      </c>
      <c r="B43" t="s">
        <v>22</v>
      </c>
      <c r="I43" t="s">
        <v>113</v>
      </c>
      <c r="J43" t="s">
        <v>115</v>
      </c>
      <c r="K43" t="s">
        <v>118</v>
      </c>
      <c r="L43" t="s">
        <v>121</v>
      </c>
    </row>
    <row r="44" spans="1:12" x14ac:dyDescent="0.25">
      <c r="A44" t="s">
        <v>27</v>
      </c>
      <c r="B44" t="s">
        <v>124</v>
      </c>
      <c r="I44" t="s">
        <v>127</v>
      </c>
      <c r="J44" t="s">
        <v>115</v>
      </c>
      <c r="K44" t="s">
        <v>132</v>
      </c>
      <c r="L44" t="s">
        <v>122</v>
      </c>
    </row>
    <row r="45" spans="1:12" x14ac:dyDescent="0.25">
      <c r="A45" t="s">
        <v>28</v>
      </c>
      <c r="B45" t="s">
        <v>125</v>
      </c>
      <c r="I45" t="s">
        <v>127</v>
      </c>
      <c r="J45" t="s">
        <v>115</v>
      </c>
      <c r="K45" t="s">
        <v>132</v>
      </c>
      <c r="L45" t="s">
        <v>116</v>
      </c>
    </row>
    <row r="46" spans="1:12" x14ac:dyDescent="0.25">
      <c r="A46" t="s">
        <v>29</v>
      </c>
      <c r="B46" t="s">
        <v>125</v>
      </c>
      <c r="I46" t="s">
        <v>127</v>
      </c>
      <c r="J46" t="s">
        <v>115</v>
      </c>
      <c r="K46" t="s">
        <v>132</v>
      </c>
      <c r="L46" t="s">
        <v>116</v>
      </c>
    </row>
    <row r="47" spans="1:12" x14ac:dyDescent="0.25">
      <c r="A47" t="s">
        <v>30</v>
      </c>
      <c r="B47" t="s">
        <v>31</v>
      </c>
      <c r="I47" t="s">
        <v>113</v>
      </c>
      <c r="J47" t="s">
        <v>115</v>
      </c>
      <c r="K47" t="s">
        <v>118</v>
      </c>
      <c r="L47" t="s">
        <v>121</v>
      </c>
    </row>
    <row r="48" spans="1:12" x14ac:dyDescent="0.25">
      <c r="A48" t="s">
        <v>32</v>
      </c>
      <c r="B48" t="s">
        <v>33</v>
      </c>
      <c r="I48" t="s">
        <v>128</v>
      </c>
      <c r="J48" t="s">
        <v>115</v>
      </c>
      <c r="K48" t="s">
        <v>114</v>
      </c>
      <c r="L48" t="s">
        <v>119</v>
      </c>
    </row>
    <row r="49" spans="1:14" x14ac:dyDescent="0.25">
      <c r="A49" t="s">
        <v>34</v>
      </c>
      <c r="B49" t="s">
        <v>33</v>
      </c>
      <c r="I49" t="s">
        <v>128</v>
      </c>
      <c r="J49" t="s">
        <v>115</v>
      </c>
      <c r="K49" t="s">
        <v>114</v>
      </c>
      <c r="L49" t="s">
        <v>119</v>
      </c>
    </row>
    <row r="50" spans="1:14" x14ac:dyDescent="0.25">
      <c r="A50" t="s">
        <v>35</v>
      </c>
      <c r="B50" t="s">
        <v>134</v>
      </c>
      <c r="I50" t="s">
        <v>133</v>
      </c>
      <c r="J50" t="s">
        <v>131</v>
      </c>
      <c r="K50" t="s">
        <v>130</v>
      </c>
      <c r="L50" s="17" t="str">
        <f>C21</f>
        <v>Semi-Marathon Genève</v>
      </c>
    </row>
    <row r="56" spans="1:14" ht="21" x14ac:dyDescent="0.35">
      <c r="A56" s="168" t="str">
        <f>"Prédiction de temps en fonction de la VMA : "&amp;VMA&amp;" km/h"</f>
        <v>Prédiction de temps en fonction de la VMA : 15.2 km/h</v>
      </c>
      <c r="B56" s="168"/>
      <c r="C56" s="168"/>
      <c r="D56" s="168"/>
      <c r="E56" s="168"/>
      <c r="F56" s="168"/>
      <c r="G56" s="168"/>
      <c r="H56" s="168"/>
      <c r="I56" s="168"/>
      <c r="J56" s="168"/>
      <c r="K56" s="168"/>
    </row>
    <row r="58" spans="1:14" ht="15.75" x14ac:dyDescent="0.25">
      <c r="A58" s="42" t="s">
        <v>74</v>
      </c>
      <c r="B58" s="43" t="s">
        <v>75</v>
      </c>
      <c r="C58" s="43" t="s">
        <v>76</v>
      </c>
      <c r="D58" s="44">
        <f>C59/VMA</f>
        <v>0.70813518165611422</v>
      </c>
      <c r="F58" s="45" t="s">
        <v>77</v>
      </c>
      <c r="G58" s="45" t="s">
        <v>75</v>
      </c>
      <c r="H58" s="45" t="s">
        <v>76</v>
      </c>
      <c r="I58" s="44">
        <f>H59/VMA</f>
        <v>0.80390190641745807</v>
      </c>
      <c r="K58" s="42" t="s">
        <v>78</v>
      </c>
      <c r="L58" s="43" t="s">
        <v>75</v>
      </c>
      <c r="M58" s="43" t="s">
        <v>76</v>
      </c>
      <c r="N58" s="44">
        <f>M59/VMA</f>
        <v>0.83809523809523845</v>
      </c>
    </row>
    <row r="59" spans="1:14" x14ac:dyDescent="0.25">
      <c r="A59" s="42">
        <v>42.195</v>
      </c>
      <c r="B59" s="46">
        <f>B108</f>
        <v>0.16333903669429975</v>
      </c>
      <c r="C59" s="47">
        <f>C108</f>
        <v>10.763654761172935</v>
      </c>
      <c r="D59" s="48" t="s">
        <v>79</v>
      </c>
      <c r="F59" s="42">
        <v>21.1</v>
      </c>
      <c r="G59" s="49">
        <f>G87</f>
        <v>7.1948967677489345E-2</v>
      </c>
      <c r="H59" s="50">
        <f>F59/G59/24</f>
        <v>12.219308977545362</v>
      </c>
      <c r="I59" s="45" t="s">
        <v>79</v>
      </c>
      <c r="K59" s="42">
        <v>10</v>
      </c>
      <c r="L59" s="46">
        <f>L75</f>
        <v>3.2707834928229658E-2</v>
      </c>
      <c r="M59" s="47">
        <f>K59/L59/24</f>
        <v>12.739047619047623</v>
      </c>
      <c r="N59" s="48" t="s">
        <v>79</v>
      </c>
    </row>
    <row r="61" spans="1:14" ht="18.75" x14ac:dyDescent="0.3">
      <c r="A61" s="51" t="s">
        <v>80</v>
      </c>
      <c r="B61" s="52">
        <v>0.65</v>
      </c>
      <c r="C61" s="53">
        <f>(A66/(VMA*$B$61))/24</f>
        <v>4.2172739541160601E-3</v>
      </c>
      <c r="D61" s="54">
        <f>$A$66/C61/24</f>
        <v>9.8799999999999972</v>
      </c>
      <c r="F61" s="51" t="s">
        <v>80</v>
      </c>
      <c r="G61" s="55">
        <v>0.78</v>
      </c>
      <c r="H61" s="56">
        <f>($F$66/(VMA*$G$61))/24</f>
        <v>3.514394961763383E-3</v>
      </c>
      <c r="I61" s="57">
        <f>$A$66/H61/24</f>
        <v>11.856</v>
      </c>
      <c r="K61" s="51" t="s">
        <v>80</v>
      </c>
      <c r="L61" s="52">
        <v>0.8</v>
      </c>
      <c r="M61" s="53">
        <f>(K66/(VMA*$L$61))/24</f>
        <v>3.4265350877192985E-3</v>
      </c>
      <c r="N61" s="54">
        <f>M67</f>
        <v>12.159999999999998</v>
      </c>
    </row>
    <row r="62" spans="1:14" ht="18.75" x14ac:dyDescent="0.3">
      <c r="A62" s="58" t="s">
        <v>81</v>
      </c>
      <c r="B62" s="59">
        <v>0.7</v>
      </c>
      <c r="C62" s="60">
        <f>(A66/(VMA*$B$62))/24</f>
        <v>3.9160401002506272E-3</v>
      </c>
      <c r="D62" s="61">
        <f>$A$66/C62/24</f>
        <v>10.639999999999999</v>
      </c>
      <c r="F62" s="58" t="s">
        <v>81</v>
      </c>
      <c r="G62" s="62">
        <v>0.78</v>
      </c>
      <c r="H62" s="63">
        <f>(F66/(VMA*$G$62))/24</f>
        <v>3.514394961763383E-3</v>
      </c>
      <c r="I62" s="64">
        <f>$A$66/H62/24</f>
        <v>11.856</v>
      </c>
      <c r="K62" s="58" t="s">
        <v>81</v>
      </c>
      <c r="L62" s="59">
        <v>0.88</v>
      </c>
      <c r="M62" s="60">
        <f>(K66/(VMA*$L$62))/24</f>
        <v>3.1150318979266348E-3</v>
      </c>
      <c r="N62" s="65">
        <f>M72</f>
        <v>13.375999999999999</v>
      </c>
    </row>
    <row r="63" spans="1:14" ht="18.75" x14ac:dyDescent="0.3">
      <c r="A63" s="66" t="s">
        <v>82</v>
      </c>
      <c r="B63" s="59">
        <v>0.75</v>
      </c>
      <c r="C63" s="67">
        <f>(A66/(VMA*$B$63))/24</f>
        <v>3.6549707602339184E-3</v>
      </c>
      <c r="D63" s="68">
        <f>$A$66/C63/24</f>
        <v>11.399999999999999</v>
      </c>
      <c r="F63" s="66" t="s">
        <v>82</v>
      </c>
      <c r="G63" s="69">
        <v>0.8</v>
      </c>
      <c r="H63" s="70">
        <f>(F66/(VMA*$G$63))/24</f>
        <v>3.4265350877192985E-3</v>
      </c>
      <c r="I63" s="71">
        <f>$A$66/H63/24</f>
        <v>12.159999999999998</v>
      </c>
      <c r="K63" s="72"/>
      <c r="L63" s="73"/>
      <c r="M63" s="74"/>
      <c r="N63" s="75"/>
    </row>
    <row r="64" spans="1:14" ht="18.75" x14ac:dyDescent="0.3">
      <c r="A64" s="76" t="s">
        <v>83</v>
      </c>
      <c r="B64" s="59">
        <v>0.8</v>
      </c>
      <c r="C64" s="77">
        <f>(A66/(VMA*$B$64))/24</f>
        <v>3.4265350877192985E-3</v>
      </c>
      <c r="D64" s="78">
        <f>$A$66/C64/24</f>
        <v>12.159999999999998</v>
      </c>
      <c r="F64" s="76" t="s">
        <v>83</v>
      </c>
      <c r="G64" s="69">
        <v>0.85</v>
      </c>
      <c r="H64" s="79">
        <f>(F66/(VMA*$G$64))/24</f>
        <v>3.2249742002063986E-3</v>
      </c>
      <c r="I64" s="80">
        <f>$A$66/H64/24</f>
        <v>12.92</v>
      </c>
    </row>
    <row r="66" spans="1:14" x14ac:dyDescent="0.25">
      <c r="A66" s="81">
        <v>1</v>
      </c>
      <c r="B66" s="82">
        <f>$C$61*A66</f>
        <v>4.2172739541160601E-3</v>
      </c>
      <c r="C66" s="83" t="s">
        <v>84</v>
      </c>
      <c r="D66" s="84">
        <f>C61</f>
        <v>4.2172739541160601E-3</v>
      </c>
      <c r="F66" s="81">
        <v>1</v>
      </c>
      <c r="G66" s="85">
        <f>H61*F66</f>
        <v>3.514394961763383E-3</v>
      </c>
      <c r="H66" s="83" t="s">
        <v>84</v>
      </c>
      <c r="I66" s="84">
        <f>H61</f>
        <v>3.514394961763383E-3</v>
      </c>
      <c r="K66" s="81">
        <v>1</v>
      </c>
      <c r="L66" s="82">
        <f>M61*K66</f>
        <v>3.4265350877192985E-3</v>
      </c>
      <c r="M66" s="83" t="s">
        <v>84</v>
      </c>
      <c r="N66" s="84">
        <f>M61</f>
        <v>3.4265350877192985E-3</v>
      </c>
    </row>
    <row r="67" spans="1:14" x14ac:dyDescent="0.25">
      <c r="A67" s="86">
        <v>2</v>
      </c>
      <c r="B67" s="87">
        <f>B66+$C$61</f>
        <v>8.4345479082321203E-3</v>
      </c>
      <c r="C67" s="88">
        <f>A66/B66/24</f>
        <v>9.8799999999999972</v>
      </c>
      <c r="D67" s="89" t="s">
        <v>79</v>
      </c>
      <c r="F67" s="86">
        <v>2</v>
      </c>
      <c r="G67" s="90">
        <f>G66+$H$61</f>
        <v>7.028789923526766E-3</v>
      </c>
      <c r="H67" s="88">
        <f>F66/G66/24</f>
        <v>11.856</v>
      </c>
      <c r="I67" s="89" t="s">
        <v>79</v>
      </c>
      <c r="K67" s="86">
        <v>2</v>
      </c>
      <c r="L67" s="87">
        <f>L66+$M$61</f>
        <v>6.853070175438597E-3</v>
      </c>
      <c r="M67" s="88">
        <f>K66/L66/24</f>
        <v>12.159999999999998</v>
      </c>
      <c r="N67" s="89" t="s">
        <v>79</v>
      </c>
    </row>
    <row r="68" spans="1:14" x14ac:dyDescent="0.25">
      <c r="A68" s="86">
        <v>3</v>
      </c>
      <c r="B68" s="87">
        <f t="shared" ref="B68:B79" si="0">B67+$C$61</f>
        <v>1.265182186234818E-2</v>
      </c>
      <c r="C68" s="91"/>
      <c r="D68" s="91"/>
      <c r="F68" s="86">
        <v>3</v>
      </c>
      <c r="G68" s="90">
        <f t="shared" ref="G68:G70" si="1">G67+$H$61</f>
        <v>1.0543184885290149E-2</v>
      </c>
      <c r="H68" s="91"/>
      <c r="I68" s="91"/>
      <c r="K68" s="86">
        <v>3</v>
      </c>
      <c r="L68" s="87">
        <f t="shared" ref="L68:L70" si="2">L67+$M$61</f>
        <v>1.0279605263157895E-2</v>
      </c>
      <c r="M68" s="91"/>
      <c r="N68" s="91"/>
    </row>
    <row r="69" spans="1:14" x14ac:dyDescent="0.25">
      <c r="A69" s="86">
        <v>4</v>
      </c>
      <c r="B69" s="87">
        <f t="shared" si="0"/>
        <v>1.6869095816464241E-2</v>
      </c>
      <c r="C69" s="91"/>
      <c r="D69" s="91"/>
      <c r="F69" s="86">
        <v>4</v>
      </c>
      <c r="G69" s="90">
        <f t="shared" si="1"/>
        <v>1.4057579847053532E-2</v>
      </c>
      <c r="H69" s="91"/>
      <c r="I69" s="91"/>
      <c r="K69" s="86">
        <v>4</v>
      </c>
      <c r="L69" s="87">
        <f t="shared" si="2"/>
        <v>1.3706140350877194E-2</v>
      </c>
      <c r="M69" s="91"/>
      <c r="N69" s="91"/>
    </row>
    <row r="70" spans="1:14" x14ac:dyDescent="0.25">
      <c r="A70" s="92">
        <v>5</v>
      </c>
      <c r="B70" s="93">
        <f t="shared" si="0"/>
        <v>2.1086369770580302E-2</v>
      </c>
      <c r="C70" s="94"/>
      <c r="D70" s="94"/>
      <c r="F70" s="92">
        <v>5</v>
      </c>
      <c r="G70" s="90">
        <f t="shared" si="1"/>
        <v>1.7571974808816913E-2</v>
      </c>
      <c r="H70" s="91"/>
      <c r="I70" s="91"/>
      <c r="K70" s="92">
        <v>5</v>
      </c>
      <c r="L70" s="93">
        <f t="shared" si="2"/>
        <v>1.7132675438596492E-2</v>
      </c>
      <c r="M70" s="91"/>
      <c r="N70" s="91"/>
    </row>
    <row r="71" spans="1:14" x14ac:dyDescent="0.25">
      <c r="A71" s="86">
        <v>6</v>
      </c>
      <c r="B71" s="87">
        <f t="shared" si="0"/>
        <v>2.5303643724696363E-2</v>
      </c>
      <c r="C71" s="91"/>
      <c r="D71" s="91"/>
      <c r="F71" s="95">
        <v>6</v>
      </c>
      <c r="G71" s="96">
        <f>G70+$H$62</f>
        <v>2.1086369770580295E-2</v>
      </c>
      <c r="H71" s="97" t="s">
        <v>85</v>
      </c>
      <c r="I71" s="98">
        <f>H62</f>
        <v>3.514394961763383E-3</v>
      </c>
      <c r="K71" s="95">
        <v>6</v>
      </c>
      <c r="L71" s="99">
        <f>L70+$M$62</f>
        <v>2.0247707336523126E-2</v>
      </c>
      <c r="M71" s="97" t="s">
        <v>85</v>
      </c>
      <c r="N71" s="98">
        <f>M62</f>
        <v>3.1150318979266348E-3</v>
      </c>
    </row>
    <row r="72" spans="1:14" x14ac:dyDescent="0.25">
      <c r="A72" s="86">
        <v>7</v>
      </c>
      <c r="B72" s="87">
        <f t="shared" si="0"/>
        <v>2.9520917678812424E-2</v>
      </c>
      <c r="C72" s="91"/>
      <c r="D72" s="91"/>
      <c r="F72" s="95">
        <v>7</v>
      </c>
      <c r="G72" s="96">
        <f t="shared" ref="G72:G75" si="3">G71+$H$62</f>
        <v>2.4600764732343676E-2</v>
      </c>
      <c r="H72" s="100">
        <f>F66/I71/24</f>
        <v>11.856</v>
      </c>
      <c r="I72" s="101" t="s">
        <v>79</v>
      </c>
      <c r="K72" s="95">
        <v>7</v>
      </c>
      <c r="L72" s="99">
        <f t="shared" ref="L72:L75" si="4">L71+$M$62</f>
        <v>2.3362739234449759E-2</v>
      </c>
      <c r="M72" s="100">
        <f>K66/N71/24</f>
        <v>13.375999999999999</v>
      </c>
      <c r="N72" s="101" t="s">
        <v>79</v>
      </c>
    </row>
    <row r="73" spans="1:14" x14ac:dyDescent="0.25">
      <c r="A73" s="86">
        <v>8</v>
      </c>
      <c r="B73" s="87">
        <f t="shared" si="0"/>
        <v>3.3738191632928481E-2</v>
      </c>
      <c r="C73" s="91"/>
      <c r="D73" s="91"/>
      <c r="F73" s="95">
        <v>8</v>
      </c>
      <c r="G73" s="96">
        <f t="shared" si="3"/>
        <v>2.8115159694107057E-2</v>
      </c>
      <c r="H73" s="102"/>
      <c r="I73" s="102"/>
      <c r="K73" s="95">
        <v>8</v>
      </c>
      <c r="L73" s="99">
        <f t="shared" si="4"/>
        <v>2.6477771132376392E-2</v>
      </c>
      <c r="M73" s="103"/>
      <c r="N73" s="102"/>
    </row>
    <row r="74" spans="1:14" x14ac:dyDescent="0.25">
      <c r="A74" s="86">
        <v>9</v>
      </c>
      <c r="B74" s="87">
        <f t="shared" si="0"/>
        <v>3.7955465587044539E-2</v>
      </c>
      <c r="C74" s="91"/>
      <c r="D74" s="91"/>
      <c r="F74" s="95">
        <v>9</v>
      </c>
      <c r="G74" s="96">
        <f t="shared" si="3"/>
        <v>3.1629554655870439E-2</v>
      </c>
      <c r="H74" s="102"/>
      <c r="I74" s="102"/>
      <c r="K74" s="95">
        <v>9</v>
      </c>
      <c r="L74" s="99">
        <f t="shared" si="4"/>
        <v>2.9592803030303025E-2</v>
      </c>
      <c r="M74" s="103"/>
      <c r="N74" s="102"/>
    </row>
    <row r="75" spans="1:14" x14ac:dyDescent="0.25">
      <c r="A75" s="92">
        <v>10</v>
      </c>
      <c r="B75" s="93">
        <f t="shared" si="0"/>
        <v>4.2172739541160596E-2</v>
      </c>
      <c r="C75" s="94"/>
      <c r="D75" s="94"/>
      <c r="F75" s="104">
        <v>10</v>
      </c>
      <c r="G75" s="105">
        <f t="shared" si="3"/>
        <v>3.514394961763382E-2</v>
      </c>
      <c r="H75" s="102"/>
      <c r="I75" s="102"/>
      <c r="K75" s="104">
        <v>10</v>
      </c>
      <c r="L75" s="106">
        <f t="shared" si="4"/>
        <v>3.2707834928229658E-2</v>
      </c>
      <c r="M75" s="107">
        <f>K75/L75/24</f>
        <v>12.739047619047623</v>
      </c>
      <c r="N75" s="108" t="s">
        <v>79</v>
      </c>
    </row>
    <row r="76" spans="1:14" x14ac:dyDescent="0.25">
      <c r="A76" s="86">
        <v>11</v>
      </c>
      <c r="B76" s="87">
        <f t="shared" si="0"/>
        <v>4.6390013495276654E-2</v>
      </c>
      <c r="C76" s="91"/>
      <c r="D76" s="91"/>
      <c r="F76" s="109">
        <v>11</v>
      </c>
      <c r="G76" s="110">
        <f>G75+$H$63</f>
        <v>3.8570484705353118E-2</v>
      </c>
      <c r="H76" s="111" t="s">
        <v>86</v>
      </c>
      <c r="I76" s="112">
        <f>H63</f>
        <v>3.4265350877192985E-3</v>
      </c>
    </row>
    <row r="77" spans="1:14" x14ac:dyDescent="0.25">
      <c r="A77" s="86">
        <v>12</v>
      </c>
      <c r="B77" s="87">
        <f t="shared" si="0"/>
        <v>5.0607287449392711E-2</v>
      </c>
      <c r="C77" s="91"/>
      <c r="D77" s="91"/>
      <c r="F77" s="109">
        <v>12</v>
      </c>
      <c r="G77" s="110">
        <f t="shared" ref="G77:G80" si="5">G76+$H$63</f>
        <v>4.1997019793072417E-2</v>
      </c>
      <c r="H77" s="113">
        <f>F66/I76/24</f>
        <v>12.159999999999998</v>
      </c>
      <c r="I77" s="114" t="s">
        <v>79</v>
      </c>
    </row>
    <row r="78" spans="1:14" x14ac:dyDescent="0.25">
      <c r="A78" s="86">
        <v>13</v>
      </c>
      <c r="B78" s="87">
        <f t="shared" si="0"/>
        <v>5.4824561403508769E-2</v>
      </c>
      <c r="C78" s="91"/>
      <c r="D78" s="91"/>
      <c r="F78" s="109">
        <v>13</v>
      </c>
      <c r="G78" s="110">
        <f t="shared" si="5"/>
        <v>4.5423554880791715E-2</v>
      </c>
      <c r="H78" s="115"/>
      <c r="I78" s="115"/>
    </row>
    <row r="79" spans="1:14" x14ac:dyDescent="0.25">
      <c r="A79" s="86">
        <v>14</v>
      </c>
      <c r="B79" s="87">
        <f t="shared" si="0"/>
        <v>5.9041835357624826E-2</v>
      </c>
      <c r="C79" s="91"/>
      <c r="D79" s="91"/>
      <c r="F79" s="109">
        <v>14</v>
      </c>
      <c r="G79" s="110">
        <f t="shared" si="5"/>
        <v>4.8850089968511014E-2</v>
      </c>
      <c r="H79" s="115"/>
      <c r="I79" s="115"/>
    </row>
    <row r="80" spans="1:14" x14ac:dyDescent="0.25">
      <c r="A80" s="104">
        <v>15</v>
      </c>
      <c r="B80" s="106">
        <f>B79+$C$62</f>
        <v>6.2957875457875456E-2</v>
      </c>
      <c r="C80" s="97" t="s">
        <v>87</v>
      </c>
      <c r="D80" s="98">
        <f>C62</f>
        <v>3.9160401002506272E-3</v>
      </c>
      <c r="F80" s="116">
        <v>15</v>
      </c>
      <c r="G80" s="117">
        <f t="shared" si="5"/>
        <v>5.2276625056230312E-2</v>
      </c>
      <c r="H80" s="115"/>
      <c r="I80" s="115"/>
    </row>
    <row r="81" spans="1:15" x14ac:dyDescent="0.25">
      <c r="A81" s="95">
        <v>16</v>
      </c>
      <c r="B81" s="99">
        <f>B80+$C$62</f>
        <v>6.6873915558126079E-2</v>
      </c>
      <c r="C81" s="100">
        <f>A66/D80/24</f>
        <v>10.639999999999999</v>
      </c>
      <c r="D81" s="118" t="s">
        <v>79</v>
      </c>
      <c r="F81" s="119">
        <v>16</v>
      </c>
      <c r="G81" s="120">
        <f>G80+$H$64</f>
        <v>5.5501599256436711E-2</v>
      </c>
      <c r="H81" s="121" t="s">
        <v>88</v>
      </c>
      <c r="I81" s="122">
        <f>H64</f>
        <v>3.2249742002063986E-3</v>
      </c>
    </row>
    <row r="82" spans="1:15" ht="15.75" x14ac:dyDescent="0.25">
      <c r="A82" s="95">
        <v>17</v>
      </c>
      <c r="B82" s="99">
        <f t="shared" ref="B82:B90" si="6">B81+$C$62</f>
        <v>7.0789955658376702E-2</v>
      </c>
      <c r="C82" s="102"/>
      <c r="D82" s="102"/>
      <c r="F82" s="119">
        <v>17</v>
      </c>
      <c r="G82" s="120">
        <f t="shared" ref="G82:G86" si="7">G81+$H$64</f>
        <v>5.8726573456643109E-2</v>
      </c>
      <c r="H82" s="123">
        <f>F66/I81/24</f>
        <v>12.92</v>
      </c>
      <c r="I82" s="124" t="s">
        <v>79</v>
      </c>
      <c r="K82" s="42" t="s">
        <v>89</v>
      </c>
      <c r="L82" s="43" t="s">
        <v>75</v>
      </c>
      <c r="M82" s="43" t="s">
        <v>76</v>
      </c>
      <c r="N82" s="44">
        <f>M83/VMA</f>
        <v>0.88</v>
      </c>
    </row>
    <row r="83" spans="1:15" x14ac:dyDescent="0.25">
      <c r="A83" s="95">
        <v>18</v>
      </c>
      <c r="B83" s="99">
        <f t="shared" si="6"/>
        <v>7.4705995758627325E-2</v>
      </c>
      <c r="C83" s="102"/>
      <c r="D83" s="102"/>
      <c r="F83" s="119">
        <v>18</v>
      </c>
      <c r="G83" s="120">
        <f t="shared" si="7"/>
        <v>6.1951547656849508E-2</v>
      </c>
      <c r="H83" s="35"/>
      <c r="I83" s="35"/>
      <c r="K83" s="42">
        <v>5</v>
      </c>
      <c r="L83" s="46">
        <f>L92</f>
        <v>1.5575159489633174E-2</v>
      </c>
      <c r="M83" s="47">
        <f>K83/L83/24</f>
        <v>13.375999999999999</v>
      </c>
      <c r="N83" s="48" t="s">
        <v>79</v>
      </c>
    </row>
    <row r="84" spans="1:15" x14ac:dyDescent="0.25">
      <c r="A84" s="95">
        <v>19</v>
      </c>
      <c r="B84" s="99">
        <f t="shared" si="6"/>
        <v>7.8622035858877948E-2</v>
      </c>
      <c r="C84" s="102"/>
      <c r="D84" s="102"/>
      <c r="F84" s="119">
        <v>19</v>
      </c>
      <c r="G84" s="120">
        <f t="shared" si="7"/>
        <v>6.5176521857055914E-2</v>
      </c>
      <c r="H84" s="35"/>
      <c r="I84" s="35"/>
    </row>
    <row r="85" spans="1:15" ht="18.75" x14ac:dyDescent="0.3">
      <c r="A85" s="104">
        <v>20</v>
      </c>
      <c r="B85" s="106">
        <f t="shared" si="6"/>
        <v>8.2538075959128571E-2</v>
      </c>
      <c r="C85" s="125"/>
      <c r="D85" s="125"/>
      <c r="F85" s="126">
        <v>20</v>
      </c>
      <c r="G85" s="128">
        <f t="shared" si="7"/>
        <v>6.8401496057262312E-2</v>
      </c>
      <c r="H85" s="35"/>
      <c r="I85" s="35"/>
      <c r="K85" s="51" t="s">
        <v>80</v>
      </c>
      <c r="L85" s="52">
        <v>0.88</v>
      </c>
      <c r="M85" s="53">
        <f>(K88/(VMA*$L$85))/24</f>
        <v>3.1150318979266348E-3</v>
      </c>
      <c r="N85" s="54">
        <f>M89</f>
        <v>13.375999999999999</v>
      </c>
    </row>
    <row r="86" spans="1:15" x14ac:dyDescent="0.25">
      <c r="A86" s="95">
        <v>21</v>
      </c>
      <c r="B86" s="99">
        <f t="shared" si="6"/>
        <v>8.6454116059379194E-2</v>
      </c>
      <c r="C86" s="102"/>
      <c r="D86" s="102"/>
      <c r="F86" s="119">
        <v>21</v>
      </c>
      <c r="G86" s="120">
        <f t="shared" si="7"/>
        <v>7.1626470257468711E-2</v>
      </c>
      <c r="H86" s="35"/>
      <c r="I86" s="35"/>
    </row>
    <row r="87" spans="1:15" x14ac:dyDescent="0.25">
      <c r="A87" s="95">
        <v>22</v>
      </c>
      <c r="B87" s="99">
        <f t="shared" si="6"/>
        <v>9.0370156159629816E-2</v>
      </c>
      <c r="C87" s="102"/>
      <c r="D87" s="102"/>
      <c r="F87" s="127">
        <v>21.1</v>
      </c>
      <c r="G87" s="128">
        <f>G86+($H$64/10)</f>
        <v>7.1948967677489345E-2</v>
      </c>
      <c r="H87" s="129">
        <f>F87/G87/24</f>
        <v>12.219308977545362</v>
      </c>
      <c r="I87" s="130" t="s">
        <v>79</v>
      </c>
    </row>
    <row r="88" spans="1:15" x14ac:dyDescent="0.25">
      <c r="A88" s="95">
        <v>23</v>
      </c>
      <c r="B88" s="99">
        <f t="shared" si="6"/>
        <v>9.4286196259880439E-2</v>
      </c>
      <c r="C88" s="102"/>
      <c r="D88" s="102"/>
      <c r="K88" s="81">
        <v>1</v>
      </c>
      <c r="L88" s="82">
        <f>M85*K88</f>
        <v>3.1150318979266348E-3</v>
      </c>
      <c r="M88" s="83" t="s">
        <v>84</v>
      </c>
      <c r="N88" s="84">
        <f>M85</f>
        <v>3.1150318979266348E-3</v>
      </c>
    </row>
    <row r="89" spans="1:15" x14ac:dyDescent="0.25">
      <c r="A89" s="95">
        <v>24</v>
      </c>
      <c r="B89" s="99">
        <f t="shared" si="6"/>
        <v>9.8202236360131062E-2</v>
      </c>
      <c r="C89" s="102"/>
      <c r="D89" s="102"/>
      <c r="K89" s="86">
        <v>2</v>
      </c>
      <c r="L89" s="87">
        <f>L88+$M$85</f>
        <v>6.2300637958532697E-3</v>
      </c>
      <c r="M89" s="131">
        <f>K88/L88/24</f>
        <v>13.375999999999999</v>
      </c>
      <c r="N89" s="89" t="s">
        <v>79</v>
      </c>
    </row>
    <row r="90" spans="1:15" x14ac:dyDescent="0.25">
      <c r="A90" s="104">
        <v>25</v>
      </c>
      <c r="B90" s="106">
        <f t="shared" si="6"/>
        <v>0.10211827646038169</v>
      </c>
      <c r="C90" s="102"/>
      <c r="D90" s="102"/>
      <c r="K90" s="86">
        <v>3</v>
      </c>
      <c r="L90" s="87">
        <f t="shared" ref="L90:L92" si="8">L89+$M$85</f>
        <v>9.3450956937799045E-3</v>
      </c>
      <c r="M90" s="91"/>
      <c r="N90" s="91"/>
    </row>
    <row r="91" spans="1:15" x14ac:dyDescent="0.25">
      <c r="A91" s="109">
        <v>26</v>
      </c>
      <c r="B91" s="132">
        <f>B90+$C$63</f>
        <v>0.10577324722061561</v>
      </c>
      <c r="C91" s="111" t="s">
        <v>90</v>
      </c>
      <c r="D91" s="112">
        <f>C63</f>
        <v>3.6549707602339184E-3</v>
      </c>
      <c r="K91" s="86">
        <v>4</v>
      </c>
      <c r="L91" s="87">
        <f t="shared" si="8"/>
        <v>1.2460127591706539E-2</v>
      </c>
      <c r="M91" s="91"/>
      <c r="N91" s="91"/>
    </row>
    <row r="92" spans="1:15" x14ac:dyDescent="0.25">
      <c r="A92" s="109">
        <v>27</v>
      </c>
      <c r="B92" s="132">
        <f t="shared" ref="B92:B100" si="9">B91+$C$63</f>
        <v>0.10942821798084953</v>
      </c>
      <c r="C92" s="133">
        <f>A66/D91/24</f>
        <v>11.399999999999999</v>
      </c>
      <c r="D92" s="134" t="s">
        <v>79</v>
      </c>
      <c r="K92" s="92">
        <v>5</v>
      </c>
      <c r="L92" s="93">
        <f t="shared" si="8"/>
        <v>1.5575159489633174E-2</v>
      </c>
      <c r="M92" s="135">
        <f>K92/L92/24</f>
        <v>13.375999999999999</v>
      </c>
      <c r="N92" s="136" t="s">
        <v>79</v>
      </c>
    </row>
    <row r="93" spans="1:15" x14ac:dyDescent="0.25">
      <c r="A93" s="109">
        <v>28</v>
      </c>
      <c r="B93" s="132">
        <f t="shared" si="9"/>
        <v>0.11308318874108346</v>
      </c>
      <c r="C93" s="115"/>
      <c r="D93" s="115"/>
    </row>
    <row r="94" spans="1:15" x14ac:dyDescent="0.25">
      <c r="A94" s="109">
        <v>29</v>
      </c>
      <c r="B94" s="132">
        <f t="shared" si="9"/>
        <v>0.11673815950131738</v>
      </c>
      <c r="C94" s="115"/>
      <c r="D94" s="115"/>
    </row>
    <row r="95" spans="1:15" x14ac:dyDescent="0.25">
      <c r="A95" s="116">
        <v>30</v>
      </c>
      <c r="B95" s="137">
        <f t="shared" si="9"/>
        <v>0.12039313026155131</v>
      </c>
      <c r="C95" s="115"/>
      <c r="D95" s="115"/>
      <c r="K95" t="s">
        <v>105</v>
      </c>
    </row>
    <row r="96" spans="1:15" x14ac:dyDescent="0.25">
      <c r="A96" s="109">
        <v>31</v>
      </c>
      <c r="B96" s="132">
        <f t="shared" si="9"/>
        <v>0.12404810102178523</v>
      </c>
      <c r="C96" s="115"/>
      <c r="D96" s="115"/>
      <c r="K96" s="138" t="s">
        <v>91</v>
      </c>
      <c r="L96" s="138" t="s">
        <v>92</v>
      </c>
      <c r="M96" s="138" t="s">
        <v>79</v>
      </c>
      <c r="N96" s="139" t="s">
        <v>93</v>
      </c>
      <c r="O96" s="140" t="s">
        <v>94</v>
      </c>
    </row>
    <row r="97" spans="1:15" x14ac:dyDescent="0.25">
      <c r="A97" s="109">
        <v>32</v>
      </c>
      <c r="B97" s="132">
        <f t="shared" si="9"/>
        <v>0.12770307178201915</v>
      </c>
      <c r="C97" s="115"/>
      <c r="D97" s="115"/>
      <c r="K97" s="141">
        <v>42.195</v>
      </c>
      <c r="L97" s="142">
        <v>240</v>
      </c>
      <c r="M97" s="143">
        <f>K97/(L97/60)</f>
        <v>10.54875</v>
      </c>
      <c r="N97" s="144">
        <f>M97/VMA</f>
        <v>0.69399671052631584</v>
      </c>
      <c r="O97" s="145">
        <f>L97/K97/1440</f>
        <v>3.9499150768258487E-3</v>
      </c>
    </row>
    <row r="98" spans="1:15" x14ac:dyDescent="0.25">
      <c r="A98" s="109">
        <v>33</v>
      </c>
      <c r="B98" s="132">
        <f t="shared" si="9"/>
        <v>0.13135804254225306</v>
      </c>
      <c r="C98" s="115"/>
      <c r="D98" s="115"/>
    </row>
    <row r="99" spans="1:15" x14ac:dyDescent="0.25">
      <c r="A99" s="109">
        <v>34</v>
      </c>
      <c r="B99" s="132">
        <f t="shared" si="9"/>
        <v>0.13501301330248697</v>
      </c>
      <c r="C99" s="115"/>
      <c r="D99" s="115"/>
      <c r="K99" t="s">
        <v>104</v>
      </c>
    </row>
    <row r="100" spans="1:15" x14ac:dyDescent="0.25">
      <c r="A100" s="116">
        <v>35</v>
      </c>
      <c r="B100" s="137">
        <f t="shared" si="9"/>
        <v>0.13866798406272088</v>
      </c>
      <c r="C100" s="115"/>
      <c r="D100" s="115"/>
      <c r="K100" s="138" t="s">
        <v>95</v>
      </c>
      <c r="L100" s="139" t="s">
        <v>93</v>
      </c>
      <c r="M100" s="138" t="s">
        <v>79</v>
      </c>
      <c r="N100" s="139" t="s">
        <v>96</v>
      </c>
      <c r="O100" s="139" t="s">
        <v>94</v>
      </c>
    </row>
    <row r="101" spans="1:15" x14ac:dyDescent="0.25">
      <c r="A101" s="119">
        <v>36</v>
      </c>
      <c r="B101" s="146">
        <f>B100+$C$64</f>
        <v>0.14209451915044019</v>
      </c>
      <c r="C101" s="121" t="s">
        <v>97</v>
      </c>
      <c r="D101" s="122">
        <f>C64</f>
        <v>3.4265350877192985E-3</v>
      </c>
      <c r="K101" s="147">
        <v>71.75</v>
      </c>
      <c r="L101" s="148">
        <v>0.9</v>
      </c>
      <c r="M101" s="149">
        <f>VMA*L101</f>
        <v>13.68</v>
      </c>
      <c r="N101" s="143">
        <f>M101*K101/60</f>
        <v>16.358999999999998</v>
      </c>
      <c r="O101" s="150">
        <f>K101/N101/1440</f>
        <v>3.0458089668615987E-3</v>
      </c>
    </row>
    <row r="102" spans="1:15" x14ac:dyDescent="0.25">
      <c r="A102" s="119">
        <v>37</v>
      </c>
      <c r="B102" s="146">
        <f t="shared" ref="B102:B107" si="10">B101+$C$64</f>
        <v>0.14552105423815948</v>
      </c>
      <c r="C102" s="123">
        <f>A66/D101/24</f>
        <v>12.159999999999998</v>
      </c>
      <c r="D102" s="151" t="s">
        <v>79</v>
      </c>
    </row>
    <row r="103" spans="1:15" x14ac:dyDescent="0.25">
      <c r="A103" s="119">
        <v>38</v>
      </c>
      <c r="B103" s="146">
        <f t="shared" si="10"/>
        <v>0.14894758932587876</v>
      </c>
      <c r="C103" s="35"/>
      <c r="D103" s="35"/>
      <c r="K103" t="s">
        <v>102</v>
      </c>
    </row>
    <row r="104" spans="1:15" x14ac:dyDescent="0.25">
      <c r="A104" s="119">
        <v>39</v>
      </c>
      <c r="B104" s="146">
        <f t="shared" si="10"/>
        <v>0.15237412441359804</v>
      </c>
      <c r="C104" s="35"/>
      <c r="D104" s="35"/>
      <c r="K104" s="138" t="s">
        <v>91</v>
      </c>
      <c r="L104" s="138" t="s">
        <v>98</v>
      </c>
      <c r="M104" s="138" t="s">
        <v>79</v>
      </c>
      <c r="N104" s="138" t="s">
        <v>75</v>
      </c>
      <c r="O104" s="138" t="s">
        <v>99</v>
      </c>
    </row>
    <row r="105" spans="1:15" x14ac:dyDescent="0.25">
      <c r="A105" s="127">
        <v>40</v>
      </c>
      <c r="B105" s="152">
        <f t="shared" si="10"/>
        <v>0.15580065950131733</v>
      </c>
      <c r="C105" s="35"/>
      <c r="D105" s="35"/>
      <c r="K105" s="141">
        <v>2</v>
      </c>
      <c r="L105" s="153">
        <v>1</v>
      </c>
      <c r="M105" s="154">
        <f>VMA*L105</f>
        <v>15.2</v>
      </c>
      <c r="N105" s="155">
        <f>(K105/M105)/24</f>
        <v>5.4824561403508769E-3</v>
      </c>
      <c r="O105" s="155">
        <f>IF(K105=0,,N105/K105)</f>
        <v>2.7412280701754384E-3</v>
      </c>
    </row>
    <row r="106" spans="1:15" x14ac:dyDescent="0.25">
      <c r="A106" s="119">
        <v>41</v>
      </c>
      <c r="B106" s="146">
        <f t="shared" si="10"/>
        <v>0.15922719458903661</v>
      </c>
      <c r="C106" s="35"/>
      <c r="D106" s="35"/>
    </row>
    <row r="107" spans="1:15" x14ac:dyDescent="0.25">
      <c r="A107" s="119">
        <v>42</v>
      </c>
      <c r="B107" s="146">
        <f t="shared" si="10"/>
        <v>0.1626537296767559</v>
      </c>
      <c r="C107" s="35"/>
      <c r="D107" s="35"/>
      <c r="K107" t="s">
        <v>103</v>
      </c>
    </row>
    <row r="108" spans="1:15" x14ac:dyDescent="0.25">
      <c r="A108" s="127">
        <v>42.195</v>
      </c>
      <c r="B108" s="152">
        <f>B107+($C$64/5)</f>
        <v>0.16333903669429975</v>
      </c>
      <c r="C108" s="129">
        <f>A108/B108/24</f>
        <v>10.763654761172935</v>
      </c>
      <c r="D108" s="130" t="s">
        <v>79</v>
      </c>
      <c r="K108" s="138" t="s">
        <v>100</v>
      </c>
      <c r="L108" s="138" t="s">
        <v>98</v>
      </c>
      <c r="M108" s="138" t="s">
        <v>65</v>
      </c>
      <c r="N108" s="138" t="s">
        <v>75</v>
      </c>
      <c r="O108" s="138" t="s">
        <v>99</v>
      </c>
    </row>
    <row r="109" spans="1:15" x14ac:dyDescent="0.25">
      <c r="K109" s="141">
        <v>10.6</v>
      </c>
      <c r="L109" s="153">
        <v>0.85</v>
      </c>
      <c r="M109" s="154">
        <f>(K109/L109)</f>
        <v>12.470588235294118</v>
      </c>
      <c r="N109" s="155">
        <f>(K109/M109)/24</f>
        <v>3.5416666666666666E-2</v>
      </c>
      <c r="O109" s="155">
        <f>IF(K109=0,,N109/K109)</f>
        <v>3.3411949685534592E-3</v>
      </c>
    </row>
  </sheetData>
  <mergeCells count="1">
    <mergeCell ref="A56:K56"/>
  </mergeCells>
  <conditionalFormatting sqref="A3:I3">
    <cfRule type="expression" dxfId="25" priority="19">
      <formula>#REF!="Z1"</formula>
    </cfRule>
  </conditionalFormatting>
  <conditionalFormatting sqref="A4:I4">
    <cfRule type="expression" dxfId="24" priority="20">
      <formula>#REF!="Z2"</formula>
    </cfRule>
  </conditionalFormatting>
  <conditionalFormatting sqref="A5:I5">
    <cfRule type="expression" dxfId="23" priority="21">
      <formula>#REF!="Z3"</formula>
    </cfRule>
  </conditionalFormatting>
  <conditionalFormatting sqref="A7:I8">
    <cfRule type="expression" dxfId="22" priority="22">
      <formula>#REF!="Z5"</formula>
    </cfRule>
  </conditionalFormatting>
  <conditionalFormatting sqref="A6:I6">
    <cfRule type="expression" dxfId="21" priority="23">
      <formula>#REF!="Z4"</formula>
    </cfRule>
  </conditionalFormatting>
  <conditionalFormatting sqref="J10">
    <cfRule type="expression" dxfId="20" priority="4">
      <formula>#REF!="Z1"</formula>
    </cfRule>
  </conditionalFormatting>
  <conditionalFormatting sqref="J11">
    <cfRule type="expression" dxfId="19" priority="5">
      <formula>#REF!="Z2"</formula>
    </cfRule>
  </conditionalFormatting>
  <conditionalFormatting sqref="J12">
    <cfRule type="expression" dxfId="18" priority="6">
      <formula>#REF!="Z3"</formula>
    </cfRule>
  </conditionalFormatting>
  <conditionalFormatting sqref="J14">
    <cfRule type="expression" dxfId="17" priority="7">
      <formula>#REF!="Z5"</formula>
    </cfRule>
  </conditionalFormatting>
  <conditionalFormatting sqref="J13">
    <cfRule type="expression" dxfId="16" priority="8">
      <formula>#REF!="Z4"</formula>
    </cfRule>
  </conditionalFormatting>
  <conditionalFormatting sqref="D24">
    <cfRule type="expression" dxfId="15" priority="3">
      <formula>$C$24&lt;7</formula>
    </cfRule>
    <cfRule type="expression" dxfId="14" priority="2">
      <formula>(AND(C24&gt;=7,C24&lt;=8))</formula>
    </cfRule>
    <cfRule type="expression" dxfId="13" priority="1">
      <formula>(C24&gt;8)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9" fitToHeight="2" orientation="landscape"/>
  <headerFooter>
    <oddHeader>&amp;R&amp;G
&amp;"Raspoutine Medium,Italique"&amp;9&amp;K002060G1Coach
Rue des Epinettes 20 – 1227 Carouge</oddHeader>
    <oddFooter xml:space="preserve">&amp;L
&amp;R&amp;"Raspoutine Medium,Italique"&amp;9&amp;K002060Mob : +41 79 773 24 04
Email : pascal@g1coach.ch
http://www.g1coach.ch&amp;"-,Normal"&amp;11&amp;K01+000
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32</vt:i4>
      </vt:variant>
    </vt:vector>
  </HeadingPairs>
  <TitlesOfParts>
    <vt:vector size="33" baseType="lpstr">
      <vt:lpstr>Feuil1</vt:lpstr>
      <vt:lpstr>FCMax</vt:lpstr>
      <vt:lpstr>FCRepos</vt:lpstr>
      <vt:lpstr>PMA</vt:lpstr>
      <vt:lpstr>VMA</vt:lpstr>
      <vt:lpstr>z1FCMaxi</vt:lpstr>
      <vt:lpstr>z1FCmini</vt:lpstr>
      <vt:lpstr>z1PMAMaxi</vt:lpstr>
      <vt:lpstr>z1PMAMini</vt:lpstr>
      <vt:lpstr>z1VMAMaxi</vt:lpstr>
      <vt:lpstr>z1VMAMini</vt:lpstr>
      <vt:lpstr>Z2FCMaxi</vt:lpstr>
      <vt:lpstr>z2FCMini</vt:lpstr>
      <vt:lpstr>z2PMAMaxi</vt:lpstr>
      <vt:lpstr>z2PMAMini</vt:lpstr>
      <vt:lpstr>z2VMAMaxi</vt:lpstr>
      <vt:lpstr>z2VMAMini</vt:lpstr>
      <vt:lpstr>z3FCMaxi</vt:lpstr>
      <vt:lpstr>z3FCMini</vt:lpstr>
      <vt:lpstr>z3PMAMaxi</vt:lpstr>
      <vt:lpstr>z3PMAMini</vt:lpstr>
      <vt:lpstr>z3VMAMaxi</vt:lpstr>
      <vt:lpstr>z3VMAMini</vt:lpstr>
      <vt:lpstr>z4FCMaxi</vt:lpstr>
      <vt:lpstr>z4FCMini</vt:lpstr>
      <vt:lpstr>z4PMAMaxi</vt:lpstr>
      <vt:lpstr>z4PMAMini</vt:lpstr>
      <vt:lpstr>z4VMAMaxi</vt:lpstr>
      <vt:lpstr>z4VMAMini</vt:lpstr>
      <vt:lpstr>z5PMAMaxi</vt:lpstr>
      <vt:lpstr>z5PMAMini</vt:lpstr>
      <vt:lpstr>z5VMAMaxi</vt:lpstr>
      <vt:lpstr>z5VMAMini</vt:lpstr>
    </vt:vector>
  </TitlesOfParts>
  <Company>Haute école de gestion de Genève // HES-SO Genève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Goll Pascal (HES)</dc:creator>
  <cp:lastModifiedBy>Goll Pascal (HES)</cp:lastModifiedBy>
  <cp:lastPrinted>2018-02-27T09:26:52Z</cp:lastPrinted>
  <dcterms:created xsi:type="dcterms:W3CDTF">2018-02-27T07:34:26Z</dcterms:created>
  <dcterms:modified xsi:type="dcterms:W3CDTF">2018-03-05T14:12:57Z</dcterms:modified>
</cp:coreProperties>
</file>